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'СВОД'!$C$1:$W$96</definedName>
  </definedNames>
  <calcPr fullCalcOnLoad="1"/>
</workbook>
</file>

<file path=xl/sharedStrings.xml><?xml version="1.0" encoding="utf-8"?>
<sst xmlns="http://schemas.openxmlformats.org/spreadsheetml/2006/main" count="740" uniqueCount="475">
  <si>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</si>
  <si>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</si>
  <si>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</si>
  <si>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</si>
  <si>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</si>
  <si>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</si>
  <si>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</si>
  <si>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</si>
  <si>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</si>
  <si>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</si>
  <si>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</si>
  <si>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</si>
  <si>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</si>
  <si>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</si>
  <si>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</si>
  <si>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</si>
  <si>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</si>
  <si>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</si>
  <si>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</si>
  <si>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</si>
  <si>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</si>
  <si>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</si>
  <si>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</si>
  <si>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</si>
  <si>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</si>
  <si>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</si>
  <si>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</si>
  <si>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</si>
  <si>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</si>
  <si>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</si>
  <si>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</si>
  <si>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</si>
  <si>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</si>
  <si>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</si>
  <si>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</si>
  <si>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</si>
  <si>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</si>
  <si>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</si>
  <si>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</si>
  <si>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</si>
  <si>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</t>
  </si>
  <si>
    <t xml:space="preserve">1) ст. 34, п. 9
2) ст. 22, п. 2
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</si>
  <si>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</si>
  <si>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</si>
  <si>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</si>
  <si>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</si>
  <si>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</si>
  <si>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</si>
  <si>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</si>
  <si>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</si>
  <si>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</si>
  <si>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 xml:space="preserve">1) ст.17, п 3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</si>
  <si>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</si>
  <si>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</si>
  <si>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</si>
  <si>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</si>
  <si>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</si>
  <si>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</si>
  <si>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</si>
  <si>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</si>
  <si>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</si>
  <si>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</si>
  <si>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</si>
  <si>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</si>
  <si>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</si>
  <si>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</si>
  <si>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</si>
  <si>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</si>
  <si>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</si>
  <si>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</si>
  <si>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</si>
  <si>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</si>
  <si>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</si>
  <si>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</si>
  <si>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</si>
  <si>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</si>
  <si>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</si>
  <si>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</si>
  <si>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</si>
  <si>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</si>
  <si>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</si>
  <si>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</si>
  <si>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</si>
  <si>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</si>
  <si>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</si>
  <si>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</si>
  <si>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</si>
  <si>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</si>
  <si>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</si>
  <si>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</si>
  <si>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</si>
  <si>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</si>
  <si>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</si>
  <si>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</si>
  <si>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</si>
  <si>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</si>
  <si>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</si>
  <si>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</si>
  <si>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</si>
  <si>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</si>
  <si>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</si>
  <si>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</si>
  <si>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</si>
  <si>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</si>
  <si>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</si>
  <si>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</si>
  <si>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</si>
  <si>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</si>
  <si>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</si>
  <si>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</si>
  <si>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</si>
  <si>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</si>
  <si>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</si>
  <si>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</si>
  <si>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</si>
  <si>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</si>
  <si>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</si>
  <si>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</si>
  <si>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</si>
  <si>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</si>
  <si>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</si>
  <si>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</si>
  <si>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</si>
  <si>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</si>
  <si>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</si>
  <si>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</si>
  <si>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</si>
  <si>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</si>
  <si>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</si>
  <si>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</si>
  <si>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</si>
  <si>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</si>
  <si>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</si>
  <si>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</si>
  <si>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</si>
  <si>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</si>
  <si>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</si>
  <si>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</si>
  <si>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</si>
  <si>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</si>
  <si>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</si>
  <si>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</si>
  <si>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</si>
  <si>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</si>
  <si>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</si>
  <si>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</si>
  <si>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</si>
  <si>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</si>
  <si>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</si>
  <si>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</si>
  <si>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</si>
  <si>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</si>
  <si>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</si>
  <si>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</si>
  <si>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</si>
  <si>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</si>
  <si>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</si>
  <si>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</si>
  <si>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</si>
  <si>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</si>
  <si>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</si>
  <si>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</si>
  <si>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</si>
  <si>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</si>
  <si>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</si>
  <si>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</si>
  <si>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</si>
  <si>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</si>
  <si>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</si>
  <si>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1)  "О ветеранах" Федеральный Закон от 12.01.1995 № 5-ФЗ
                                                                                                    </t>
  </si>
  <si>
    <t xml:space="preserve">1) глава II, статья 23.2, пункты 1, 2;                                                                                                                                                                       </t>
  </si>
  <si>
    <t xml:space="preserve"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</si>
  <si>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</si>
  <si>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</si>
  <si>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</si>
  <si>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</si>
  <si>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</si>
  <si>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</si>
  <si>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</si>
  <si>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</si>
  <si>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</si>
  <si>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</si>
  <si>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</si>
  <si>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</si>
  <si>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</si>
  <si>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</si>
  <si>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</si>
  <si>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</si>
  <si>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</si>
  <si>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</si>
  <si>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</si>
  <si>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</si>
  <si>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</si>
  <si>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</si>
  <si>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</si>
  <si>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</si>
  <si>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</si>
  <si>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</si>
  <si>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</si>
  <si>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</si>
  <si>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>Закон Нижегородской области от 30.09.2008 №116-З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отношений"</t>
  </si>
  <si>
    <t>ст.4</t>
  </si>
  <si>
    <t xml:space="preserve">1) 06.10.2003,
не установлен
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</si>
  <si>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</si>
  <si>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</si>
  <si>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</si>
  <si>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</si>
  <si>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
2) ст. 2, ст. 3
3) </t>
  </si>
  <si>
    <t>1) 21.10.2005, не установлен
2)10.12.2004, 31.12.2013
3) 01.01.2014, не установлен</t>
  </si>
  <si>
    <t>07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</si>
  <si>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                                                 </t>
  </si>
  <si>
    <t xml:space="preserve">1) ст. 15, п. 1, п.п. 25
2) ст. 11
3) ст. 16
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</si>
  <si>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</si>
  <si>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</si>
  <si>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>1) 01.01.2006, не установлен
2) 04.12.2009, не установлен
3) 24.07.2000, не установлен</t>
  </si>
  <si>
    <t xml:space="preserve">
1) Постановление Правительства Нижегородской области от 16.09.2010 №618 "Об утверждении комплексной целевой программы развития малого предпринимательства в Нижегородской области на 2011 - 2015 годы"                                                    2) Постановление Правительства Нижегородской области от 28.10.2013 № 780 (ред. от 03.03.2014) "Об утверждении государственной программы "Развитие предпринимательства и туризма Нижегородской области на 2014 - 2016 годы"                                                                                     3) Постановление Правительства Нижегородской области от 29.04.2014 № 290 "Об утверждении государственной программы "Развитие предпринимательства и туризма Нижегородской области" </t>
  </si>
  <si>
    <t xml:space="preserve">
1) п.3 
2) п.1
3) п.1</t>
  </si>
  <si>
    <t xml:space="preserve">
1) 16.09.2010-31.12.2013
2) 03.03.2014, 31.12.2015
3)01.01.2015, не установлен</t>
  </si>
  <si>
    <t xml:space="preserve">1) ст. 8, п. 2
</t>
  </si>
  <si>
    <t>1) Федеральный закон от 06.10.2003 № 131-ФЗ "Об общих принципах организации местного самоуправления в Российской Федерации"</t>
  </si>
  <si>
    <t>ст. 9</t>
  </si>
  <si>
    <t>1) 01.01.2006, не установлен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</si>
  <si>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</si>
  <si>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</si>
  <si>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</si>
  <si>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</si>
  <si>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</si>
  <si>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</si>
  <si>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</si>
  <si>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</si>
  <si>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</si>
  <si>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</si>
  <si>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</si>
  <si>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2.4.становление официальных символов муниципального образования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</si>
  <si>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</si>
  <si>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2.12.разработка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</si>
  <si>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</si>
  <si>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</si>
  <si>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</si>
  <si>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</si>
  <si>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3.1.8.Субвенции на исполнение полномочий в сфере общего образования в муниципальных общеобразовательных организациях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</si>
  <si>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</si>
  <si>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3.1.43.Субвенции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</si>
  <si>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</si>
  <si>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</si>
  <si>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</si>
  <si>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</si>
  <si>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</si>
  <si>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</si>
  <si>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</si>
  <si>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</si>
  <si>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</si>
  <si>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</si>
  <si>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</si>
  <si>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</si>
  <si>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</si>
  <si>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04                      01</t>
  </si>
  <si>
    <t>12                         13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</si>
  <si>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</si>
  <si>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</si>
  <si>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</si>
  <si>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</si>
  <si>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 xml:space="preserve">02          </t>
  </si>
  <si>
    <t xml:space="preserve">05           </t>
  </si>
  <si>
    <t xml:space="preserve">3.1.42.Субвенции на обеспечение жильем отдельных категорий граждан, установленных федеральными законами от 12 января 1995 года №5-ФЗ «О ветеранах» и от 24 ноября 1995 года №181-ФЗ «О социальной защите инвалидов в Российской Федерации» </t>
  </si>
  <si>
    <t>1)  "О ветеранах" Федеральный Закон от 12.01.1995 № 5-ФЗ
                                                                                                    2) Федеральный закон от 24.11.1995 № 181-ФЗ "О социальной защите инвалидов в Российской Федерации"</t>
  </si>
  <si>
    <t>1) глава II, статья 23.2, пункты 1, 2;                                                                                                                                                                       2) глава IV, статья 28.2, абзац 1</t>
  </si>
  <si>
    <t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2) 27.11.1995, не установлен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</si>
  <si>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</si>
  <si>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2.8  полномочиями по организации теплоснабжения, предусмотренными  ФЗ  "О теплоснабжении"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</si>
  <si>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</si>
  <si>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теплоснабжении" от 27.07.2010 N 190-ФЗ</t>
  </si>
  <si>
    <t>27.07.2010 не установлен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</si>
  <si>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</si>
  <si>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</si>
  <si>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</si>
  <si>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</si>
  <si>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</si>
  <si>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</si>
  <si>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</si>
  <si>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</si>
  <si>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</si>
  <si>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</si>
  <si>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</si>
  <si>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</si>
  <si>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</si>
  <si>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</si>
  <si>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</si>
  <si>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24.07.2007, 31.12.2013
3) 10.01.1996, не установлен
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</si>
  <si>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</si>
  <si>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</si>
  <si>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</si>
  <si>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</si>
  <si>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</si>
  <si>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</si>
  <si>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</si>
  <si>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</si>
  <si>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</si>
  <si>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</si>
  <si>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</si>
  <si>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</si>
  <si>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</si>
  <si>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</si>
  <si>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</si>
  <si>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 xml:space="preserve">3.1.52.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</si>
  <si>
    <t>1.14.организация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</si>
  <si>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06       05</t>
  </si>
  <si>
    <t>03         02</t>
  </si>
  <si>
    <t>3.1.53.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</si>
  <si>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 xml:space="preserve">
10      05</t>
  </si>
  <si>
    <t xml:space="preserve">
03         02</t>
  </si>
  <si>
    <t>отчетный  2019 год</t>
  </si>
  <si>
    <t>текущий 
 2020 год</t>
  </si>
  <si>
    <t>очередной 2021 год</t>
  </si>
  <si>
    <t>1.46 участие в предупреждении и ликвидации последствий чрезвычайных ситуаций в границах сельского поселения</t>
  </si>
  <si>
    <t>1.48 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</si>
  <si>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1) 04.03.2020, не установлен</t>
  </si>
  <si>
    <t xml:space="preserve">1) Закон Нижегородской области от 02.03.2020 № 11-З "О внесении изменений в Закон Нижегородской области от 19.12.2019 №165-З "Об областном бюджете на 2020 год и на плановый период 2021 и 2022 годов"
                                                                                                        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</si>
  <si>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</si>
  <si>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 xml:space="preserve">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
                                                                                                        </t>
  </si>
  <si>
    <t>24.12.1994г., не установлен</t>
  </si>
  <si>
    <t>24.01.1996г., не установлен</t>
  </si>
  <si>
    <t>13</t>
  </si>
  <si>
    <t>2.10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</si>
  <si>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"Об основных гарантиях избирательных прав и права на участие в референдуме граждан Российской Федерации" от 12.06.2002 N 67-ФЗ</t>
  </si>
  <si>
    <t>15.06.2002 не установлен</t>
  </si>
  <si>
    <t>05     04</t>
  </si>
  <si>
    <t>03    09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</si>
  <si>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</si>
  <si>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</si>
  <si>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01.01.2006, не установлен
2) 02.03.2007, не установлен</t>
  </si>
  <si>
    <t>ст. 38, абз, 1</t>
  </si>
  <si>
    <t>06</t>
  </si>
  <si>
    <t>Княгининский муниципальный район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</si>
  <si>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</si>
  <si>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</si>
  <si>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</si>
  <si>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01.01.206г.,"не установлена"</t>
  </si>
  <si>
    <t>3.1.12 Субсидия на возмещение части затрат на приобретение элитных семян за счет средств областного бюджета</t>
  </si>
  <si>
    <t>Постановление  Правительства   Нижегородской области от 13.02.2017г. № 63 "О порядке и условиях предоставления и распределения субсидий на содействие достижению целевых показателей государственной программы " Развитие агропромышленного комплекса Нижегородской области", источником финансового обеспечения которых являются средства федерального и областного бюджетов</t>
  </si>
  <si>
    <t>в целом</t>
  </si>
  <si>
    <t>01.01.2017г., "не установлена"</t>
  </si>
  <si>
    <t>3.1.14. Сусидии на поддержку племенного животноводства молочного направления  за счет средств областного бюджета</t>
  </si>
  <si>
    <t>01.01.2017г., "Не установлена"</t>
  </si>
  <si>
    <t>3.1.15. Субвенции на возмещение частим процентной ставки по долгосрочным, среднесрочным и краткосрочным кредитам, взятыми малыми формами хозяйствования за счет средств областного бюджета</t>
  </si>
  <si>
    <t>01.01.2017г., " не установлена"</t>
  </si>
  <si>
    <t>3.1.21. Субсидии на осуществление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</t>
  </si>
  <si>
    <t>Постановление Правительства Нижегородской области от 20.11.2013г. № 862 " об утверждении Положения о порядке и условиях предоставления и использования субвенций из средств областного бюджета бюджетам муниципальных районов городских округов Нижегородской области на осуществление отдельных государственных 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животных"</t>
  </si>
  <si>
    <t>01.01.2014г., " не установлена"</t>
  </si>
  <si>
    <t>3.1.23. Субсидии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 бюджета</t>
  </si>
  <si>
    <t>Постановление Правительства РФ от 22.12.2012г. № 1370 "об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(или) отгруженного на собственную переработку молока"</t>
  </si>
  <si>
    <t>01.01.2013г., " не установлена"</t>
  </si>
  <si>
    <t>Постановление Правительства Нижегородской области от 14.03.2013г. № 148 "об утверждении Правил о порядке предоставления средств на возмещение части затрат сельскохозяйственным товаропроизводителям на 1 килограмм реализованного  и (или) отгруженного на собственную переработку молока за счет средств областного бюджета"</t>
  </si>
  <si>
    <t>3.1.26. Субсидия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</si>
  <si>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Постановление  Правительства   Нижегородской области от 03.05.2013г. № 136 "Об утверждении Положения о порядке предоставления субсидий на оказание несвязанной поддержки сельскохозяйственным  товаропроизводителям в области растениеводства"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</si>
  <si>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</si>
  <si>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15.12.2015г. № 834 "Об утверждении положения о порядке предоставления субсидийна возмещение части затрат на приобретение оборудования и техники"</t>
  </si>
  <si>
    <t>3.1.31. Субвенции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областного бюджета</t>
  </si>
  <si>
    <t>3.1.37. Субвенции на возмещение части процентной ставки по долгосрочным, среднесрочным и краткосрочным кредитам, взятыми малыми формами фозяйствования за счет средств федерального бюджета</t>
  </si>
  <si>
    <t>Постановление  Правительства  Российской Федерации от 28.12.2012г. № 1460 "Об утверждении предоставления и распределения субсидий из федерального бюджета бюджетам субъектов РФ на возмещение части затрат на уплату процентов по кредитам, полученным в российских кредитных организациях и  займам, полученным в сельскохозяйственных потребительких кооперативах"</t>
  </si>
  <si>
    <t>3.1.40. Субвенции на возмещение части затрат на приобретение элитных семян за счет средств федерального  бюджета</t>
  </si>
  <si>
    <t>Постановление Правительства РФ от 12.12.2012г. № 1295 "об утверждении правил предоставления и распределения субсидий из федерального бюджета бюджетам субъектов  Российской  Федерации на возмещение отдельных подотраслей растениеводства "</t>
  </si>
  <si>
    <t>пункт 2, подпункт а</t>
  </si>
  <si>
    <t>3.1.45. Субвенция на оказание несвязанной поддержки сельскохозяйственным товаропроизводителям в области растениеводства за счет средств федерального  бюджета</t>
  </si>
  <si>
    <t>Постановление Правительства РФ от 27.12.2012г. № 1431 "об утверждении и предоставления и распределения субсидий из федерального бюджета бюджетам субъектов  Федерации на оказание  несвязанной поддержки секльскохозяйственным товаропроизводителям растениеводства, а также в области развития семенного картофеля и овощей  открытого грунта"</t>
  </si>
  <si>
    <t>04
05</t>
  </si>
  <si>
    <t>05
05</t>
  </si>
  <si>
    <t xml:space="preserve">
1) 06.10.2003,
не установлен
</t>
  </si>
  <si>
    <t xml:space="preserve">
полностью</t>
  </si>
  <si>
    <t xml:space="preserve">
1) Федеральный закон от 06.10.2003 № 131-ФЗ "Об общих принципах организации местного самоуправления в Российской Федерации"
</t>
  </si>
  <si>
    <t>1)Постановление Правительства Нижегородской области от 13.03.2020 г. №207 "Огосударственной поддержке сельскохозяйственного производства по отдельным подотраслям растениеводства и животноводства
 2)Закона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</t>
  </si>
  <si>
    <t>полностью
полностью</t>
  </si>
  <si>
    <t>13.03.2020 не установлен
18.08.2011 не установлен</t>
  </si>
  <si>
    <t>1)Постановление Правительства Нижегородской области от 13.03.2020 г. №207 "Огосударственной поддержке сельскохозяйственного производства по отдельным подотраслям растениеводства и животноводства
2)Постановление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</t>
  </si>
  <si>
    <t xml:space="preserve">
1) 03.08.1998,
не установлен
</t>
  </si>
  <si>
    <t xml:space="preserve">
ст. 139</t>
  </si>
  <si>
    <t xml:space="preserve">
Бюджетный кодекс Российской Федерации</t>
  </si>
  <si>
    <t>13.03.2020 не установлен
20.04.2013 не установлен</t>
  </si>
  <si>
    <t>05
01</t>
  </si>
  <si>
    <t>3.1.54.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</t>
  </si>
  <si>
    <t xml:space="preserve">Постановление Правительства Нижегородской области от 03.07.2020г. № 538 " об утверждении Положения о порядке и условиях использования субвенций из областного бюджета бюджетам муниципальных районов и городских округов 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владельцев" </t>
  </si>
  <si>
    <t>03.07.2020г., " не установлена"</t>
  </si>
  <si>
    <t>3.1.55. Субсидии на возмещение части затрат на поддержку собственного производства молока за счет средств федерального  бюджета</t>
  </si>
  <si>
    <t>Постановление Правительства  России от 30.11.2019г. " 1573 "О внесении изменений в государственную программу развития сельского хозяйства и регулирования рынков сельскохозяйственной продукции, сырья и продовольствия и признании утратившим силу отдельных актов и отдельных положений актов Правительства РФ"</t>
  </si>
  <si>
    <t>В целом</t>
  </si>
  <si>
    <t>01.01.2020г. "Не установлена"</t>
  </si>
  <si>
    <t>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</si>
  <si>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13.03.2020г., " не установлена"</t>
  </si>
  <si>
    <t>3.1.57. Субсидии на возмещение части затрат на поддержку собственного производства молока за счет средств областного бюджета</t>
  </si>
  <si>
    <t>13.03.2020 "Не установлена"</t>
  </si>
  <si>
    <t>3.1.58. Субвенции на возмещение части затрат на поддержку элитного семеноводства за счет средств федерального  бюджета</t>
  </si>
  <si>
    <t>3.1.59.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федерального бюджета</t>
  </si>
  <si>
    <t>Постановление  Правительства   Нижегородской области от 18.03.2020г. № 218 "О государственной поддержке на стимулирование развития приоритетных подотраслей агропромышленного комплекса и развитие малых форм хозяйствования"</t>
  </si>
  <si>
    <t>18.03.2020г., " не установлена"</t>
  </si>
  <si>
    <t>3.1.56.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областного бюджета</t>
  </si>
  <si>
    <t xml:space="preserve">в целом </t>
  </si>
  <si>
    <t>18.03.2020 "Не установлена"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</si>
  <si>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</si>
  <si>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ст. 15, п. 1, п.п. 2
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</si>
  <si>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</si>
  <si>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</si>
  <si>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</si>
  <si>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                                                                                4) Закон Российской Федерации от 29.12.2012 № 273-ФЗ "Об образовании в Российской Федерации"
5) Бюджетный кодекс Российской Федерации от 31.07.1998</t>
  </si>
  <si>
    <t>1) ст. 15, п. 1, п.п. 11
2) ст. 5
3) ст. 5
4) гл.7, гл. 10
5)ст. 139</t>
  </si>
  <si>
    <t>1) 06.10.2003, не установлен
2) 10.07.1992, не установлен
3) 21.12.1996, не установлен
4) 01.09.2013, не установлен 
5)03.08.1998, не установлен</t>
  </si>
  <si>
    <t>1) Закон Нижегородской области от 30.12.2005 № 212-З "О социальной поддержке отдельных категорий граждан в целях реализации их права на образование"
2) Постановление Правительства Нижегородской области №300 "Об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области, реализующих общеобразовательные программы" от 24.05.2019г</t>
  </si>
  <si>
    <t>1) ст. 11, п. 2
2)полностью</t>
  </si>
  <si>
    <t>1) 30.12.2005, не установлен
2)28.05.2019, не установлен</t>
  </si>
  <si>
    <t>04
07
07
07
07                                                                                                                                                                                                          07</t>
  </si>
  <si>
    <t>01
01
02                                                 03
07
09</t>
  </si>
  <si>
    <t>01             03           04        07        07 
07       12</t>
  </si>
  <si>
    <t>13             09            12         03         07         
09
01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</si>
  <si>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</si>
  <si>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 xml:space="preserve">1) ст. 6, п.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ст. 2, ст. 3
3) полностью 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</si>
  <si>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</si>
  <si>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</si>
  <si>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</si>
  <si>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</si>
  <si>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</si>
  <si>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</si>
  <si>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>ст. 20</t>
  </si>
  <si>
    <t>06.10.2003,
не установлен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</si>
  <si>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</si>
  <si>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>1) ст. 6, п. 1
2) ст. 2, ст. 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полностью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</si>
  <si>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</si>
  <si>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</si>
  <si>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</si>
  <si>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</si>
  <si>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</si>
  <si>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1) ст. 1, ст.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полностью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</si>
  <si>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</si>
  <si>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</si>
  <si>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</si>
  <si>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</si>
  <si>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</si>
  <si>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</si>
  <si>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</si>
  <si>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</si>
  <si>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>1.2. Установление, изменение и отмена местных налогов и сборов муниципального района</t>
  </si>
  <si>
    <t xml:space="preserve"> 06.10.2003, не установлен, не установлен</t>
  </si>
  <si>
    <t>1) ст. 15, п. 1, п.п. 7
2) ст. 1, п. 1
3) ст. 11, п 2, п.п. "г"</t>
  </si>
  <si>
    <t>1) полностью
2)п. 7</t>
  </si>
  <si>
    <t>01
03        04
05</t>
  </si>
  <si>
    <t>11
09         10             02</t>
  </si>
  <si>
    <t xml:space="preserve">1) Закон Нижегородской области от 25.04.1997 № 70-З "О молодежной политике"
</t>
  </si>
  <si>
    <t xml:space="preserve">1) 25.04.1997, не установлен
</t>
  </si>
  <si>
    <t>10
10</t>
  </si>
  <si>
    <t>03
04</t>
  </si>
  <si>
    <t>01
01           03         01         04</t>
  </si>
  <si>
    <t>04
06            09         13         10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</si>
  <si>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</si>
  <si>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</si>
  <si>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</si>
  <si>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</si>
  <si>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</si>
  <si>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</si>
  <si>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ст.15, п.1,п.п.19, ст.4, п.1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</si>
  <si>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</si>
  <si>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ст.15, п.1 п.п.19.1</t>
  </si>
  <si>
    <t>08
04          08</t>
  </si>
  <si>
    <t xml:space="preserve">02
01            01      </t>
  </si>
  <si>
    <t>Федеральный закон от 06.10.2003 № 131-ФЗ "Об общих принципах организации местного самоуправления</t>
  </si>
  <si>
    <t>Федеральный закон  от 29.12.1994 №78-ФЗ</t>
  </si>
  <si>
    <t>04
04</t>
  </si>
  <si>
    <t>05
12</t>
  </si>
  <si>
    <t>1.30.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 социально ориентированным некомерческим организациям, благотворительной деятельности и добровольчеству</t>
  </si>
  <si>
    <t>1.31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</si>
  <si>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ст.15, п.1 п.п.11</t>
  </si>
  <si>
    <t>06.10,2003</t>
  </si>
  <si>
    <t>11</t>
  </si>
  <si>
    <t xml:space="preserve"> Федеральный закон от 06.10.2003 № 131-ФЗ "Об общих принципах организации местного самоуправления в Российской Федерации"</t>
  </si>
  <si>
    <t>01         01        04
07        
08
10        10       01
11</t>
  </si>
  <si>
    <t>04         13         10         
09
04
01         03         02
05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</si>
  <si>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</si>
  <si>
    <t xml:space="preserve">Реестр расходных обязательств муниципальных образований, входящих в состав Нижегородской области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</si>
</sst>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  <numFmt numFmtId="181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6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" fontId="6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9" fontId="8" fillId="3" borderId="1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180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3" borderId="0" xfId="0" applyFont="1" applyFill="1" applyAlignment="1">
      <alignment/>
    </xf>
    <xf numFmtId="0" fontId="2" fillId="33" borderId="0" xfId="35" applyFont="1" applyFill="1" applyAlignment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35" applyFont="1" applyFill="1" applyBorder="1" applyAlignment="1">
      <alignment horizontal="center" vertical="center"/>
      <protection/>
    </xf>
    <xf numFmtId="0" fontId="2" fillId="33" borderId="0" xfId="35" applyFont="1" applyFill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2" fillId="33" borderId="0" xfId="35" applyNumberFormat="1" applyFont="1" applyFill="1" applyAlignment="1" applyProtection="1">
      <alignment horizontal="center" vertical="center"/>
      <protection locked="0"/>
    </xf>
    <xf numFmtId="49" fontId="2" fillId="33" borderId="0" xfId="35" applyNumberFormat="1" applyFont="1" applyFill="1" applyAlignment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2" fillId="33" borderId="0" xfId="35" applyFont="1" applyFill="1" applyAlignment="1">
      <alignment horizontal="left" vertical="center"/>
      <protection/>
    </xf>
    <xf numFmtId="172" fontId="2" fillId="33" borderId="0" xfId="35" applyNumberFormat="1" applyFont="1" applyFill="1" applyAlignment="1">
      <alignment horizontal="left" vertical="center"/>
      <protection/>
    </xf>
    <xf numFmtId="172" fontId="7" fillId="33" borderId="0" xfId="35" applyNumberFormat="1" applyFont="1" applyFill="1" applyAlignment="1">
      <alignment horizontal="left" vertical="center"/>
      <protection/>
    </xf>
    <xf numFmtId="0" fontId="7" fillId="33" borderId="0" xfId="35" applyFont="1" applyFill="1" applyAlignment="1">
      <alignment horizontal="left" vertical="center"/>
      <protection/>
    </xf>
    <xf numFmtId="0" fontId="2" fillId="33" borderId="10" xfId="35" applyFont="1" applyFill="1" applyBorder="1" applyAlignment="1">
      <alignment horizontal="left" vertical="center"/>
      <protection/>
    </xf>
    <xf numFmtId="0" fontId="2" fillId="33" borderId="0" xfId="35" applyFont="1" applyFill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60" applyNumberFormat="1" applyFont="1" applyFill="1" applyBorder="1" applyAlignment="1" applyProtection="1">
      <alignment horizontal="left" vertical="center" wrapText="1" shrinkToFit="1"/>
      <protection locked="0"/>
    </xf>
    <xf numFmtId="49" fontId="6" fillId="33" borderId="10" xfId="0" applyNumberFormat="1" applyFont="1" applyFill="1" applyBorder="1" applyAlignment="1">
      <alignment horizontal="left"/>
    </xf>
    <xf numFmtId="0" fontId="1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72" fontId="2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10" xfId="60" applyNumberFormat="1" applyFont="1" applyFill="1" applyBorder="1" applyAlignment="1" applyProtection="1">
      <alignment horizontal="left" vertical="top" wrapText="1" shrinkToFit="1"/>
      <protection locked="0"/>
    </xf>
    <xf numFmtId="49" fontId="6" fillId="33" borderId="12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8" fillId="33" borderId="10" xfId="0" applyNumberFormat="1" applyFont="1" applyFill="1" applyBorder="1" applyAlignment="1">
      <alignment horizontal="left" vertical="top" wrapText="1"/>
    </xf>
    <xf numFmtId="0" fontId="12" fillId="33" borderId="0" xfId="35" applyFont="1" applyFill="1" applyAlignment="1" applyProtection="1">
      <alignment horizontal="left" vertical="top" wrapText="1"/>
      <protection locked="0"/>
    </xf>
    <xf numFmtId="0" fontId="12" fillId="33" borderId="0" xfId="35" applyFont="1" applyFill="1" applyAlignment="1">
      <alignment horizontal="left" vertical="top" wrapText="1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35" applyFont="1" applyFill="1" applyBorder="1" applyAlignment="1">
      <alignment horizontal="center" vertical="center" wrapText="1"/>
      <protection/>
    </xf>
    <xf numFmtId="49" fontId="6" fillId="33" borderId="10" xfId="35" applyNumberFormat="1" applyFont="1" applyFill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60" applyNumberFormat="1" applyFont="1" applyFill="1" applyBorder="1" applyAlignment="1" applyProtection="1">
      <alignment horizontal="center" vertical="top" wrapText="1" shrinkToFit="1"/>
      <protection locked="0"/>
    </xf>
    <xf numFmtId="14" fontId="6" fillId="33" borderId="10" xfId="6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0" applyNumberFormat="1" applyFont="1" applyFill="1" applyBorder="1" applyAlignment="1">
      <alignment horizontal="center" wrapText="1"/>
    </xf>
    <xf numFmtId="14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35" applyNumberFormat="1" applyFont="1" applyFill="1" applyBorder="1" applyAlignment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0" xfId="0" applyFont="1" applyFill="1" applyBorder="1" applyAlignment="1">
      <alignment horizontal="center" vertical="top"/>
    </xf>
    <xf numFmtId="0" fontId="2" fillId="33" borderId="10" xfId="35" applyFont="1" applyFill="1" applyBorder="1" applyAlignment="1">
      <alignment horizontal="center" vertical="top"/>
      <protection/>
    </xf>
    <xf numFmtId="0" fontId="2" fillId="33" borderId="0" xfId="35" applyFont="1" applyFill="1" applyAlignment="1" applyProtection="1">
      <alignment horizontal="center" vertical="top"/>
      <protection locked="0"/>
    </xf>
    <xf numFmtId="0" fontId="2" fillId="33" borderId="0" xfId="35" applyFont="1" applyFill="1" applyAlignment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8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0" xfId="35" applyNumberFormat="1" applyFont="1" applyFill="1" applyBorder="1" applyAlignment="1">
      <alignment horizontal="center" vertical="center"/>
      <protection/>
    </xf>
    <xf numFmtId="180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35" applyNumberFormat="1" applyFont="1" applyFill="1" applyBorder="1" applyAlignment="1">
      <alignment horizontal="center" vertical="center"/>
      <protection/>
    </xf>
    <xf numFmtId="0" fontId="7" fillId="33" borderId="0" xfId="35" applyFont="1" applyFill="1" applyAlignment="1" applyProtection="1">
      <alignment horizontal="left" vertical="center"/>
      <protection locked="0"/>
    </xf>
    <xf numFmtId="180" fontId="8" fillId="33" borderId="13" xfId="0" applyNumberFormat="1" applyFont="1" applyFill="1" applyBorder="1" applyAlignment="1">
      <alignment horizontal="center" vertical="center"/>
    </xf>
    <xf numFmtId="180" fontId="4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6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33" borderId="14" xfId="0" applyNumberFormat="1" applyFont="1" applyFill="1" applyBorder="1" applyAlignment="1" applyProtection="1">
      <alignment horizontal="center" vertical="top" wrapText="1" shrinkToFit="1"/>
      <protection locked="0"/>
    </xf>
    <xf numFmtId="14" fontId="6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35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180" fontId="9" fillId="33" borderId="14" xfId="0" applyNumberFormat="1" applyFont="1" applyFill="1" applyBorder="1" applyAlignment="1">
      <alignment horizontal="center" vertical="center" wrapText="1" shrinkToFit="1"/>
    </xf>
    <xf numFmtId="0" fontId="6" fillId="33" borderId="0" xfId="0" applyNumberFormat="1" applyFont="1" applyFill="1" applyBorder="1" applyAlignment="1" applyProtection="1">
      <alignment horizontal="left" vertical="center" wrapText="1"/>
      <protection/>
    </xf>
    <xf numFmtId="180" fontId="0" fillId="33" borderId="14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 shrinkToFit="1"/>
    </xf>
    <xf numFmtId="0" fontId="0" fillId="33" borderId="14" xfId="0" applyFont="1" applyFill="1" applyBorder="1" applyAlignment="1">
      <alignment horizontal="center" vertical="top" wrapText="1" shrinkToFit="1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4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showZeros="0" tabSelected="1" view="pageBreakPreview" zoomScale="70" zoomScaleNormal="73" zoomScaleSheetLayoutView="70" zoomScalePageLayoutView="0" workbookViewId="0" topLeftCell="B1">
      <pane xSplit="2" ySplit="8" topLeftCell="D12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L5" sqref="L5:W5"/>
    </sheetView>
  </sheetViews>
  <sheetFormatPr defaultColWidth="9.00390625" defaultRowHeight="12.75"/>
  <cols>
    <col min="1" max="1" width="0" style="49" hidden="1" customWidth="1"/>
    <col min="2" max="2" width="1.25" style="49" hidden="1" customWidth="1"/>
    <col min="3" max="3" width="34.375" style="81" customWidth="1"/>
    <col min="4" max="4" width="30.375" style="49" customWidth="1"/>
    <col min="5" max="5" width="9.625" style="120" customWidth="1"/>
    <col min="6" max="6" width="13.875" style="120" customWidth="1"/>
    <col min="7" max="7" width="27.25390625" style="49" customWidth="1"/>
    <col min="8" max="8" width="16.625" style="36" customWidth="1"/>
    <col min="9" max="9" width="12.625" style="36" customWidth="1"/>
    <col min="10" max="10" width="5.875" style="44" customWidth="1"/>
    <col min="11" max="11" width="6.25390625" style="44" customWidth="1"/>
    <col min="12" max="12" width="13.00390625" style="49" customWidth="1"/>
    <col min="13" max="13" width="11.875" style="49" customWidth="1"/>
    <col min="14" max="14" width="11.375" style="49" customWidth="1"/>
    <col min="15" max="15" width="11.375" style="52" customWidth="1"/>
    <col min="16" max="16" width="10.00390625" style="49" customWidth="1"/>
    <col min="17" max="17" width="8.625" style="49" customWidth="1"/>
    <col min="18" max="18" width="8.625" style="52" customWidth="1"/>
    <col min="19" max="20" width="11.00390625" style="49" customWidth="1"/>
    <col min="21" max="21" width="11.00390625" style="52" customWidth="1"/>
    <col min="22" max="22" width="11.00390625" style="49" customWidth="1"/>
    <col min="23" max="23" width="10.875" style="49" customWidth="1"/>
    <col min="24" max="24" width="9.875" style="49" customWidth="1"/>
    <col min="25" max="25" width="14.625" style="49" customWidth="1"/>
    <col min="26" max="26" width="13.25390625" style="49" customWidth="1"/>
    <col min="27" max="27" width="15.875" style="49" customWidth="1"/>
    <col min="28" max="28" width="14.75390625" style="49" customWidth="1"/>
    <col min="29" max="29" width="13.25390625" style="49" customWidth="1"/>
    <col min="30" max="30" width="16.625" style="49" customWidth="1"/>
    <col min="31" max="16384" width="9.125" style="49" customWidth="1"/>
  </cols>
  <sheetData>
    <row r="1" spans="1:24" ht="32.25" customHeight="1">
      <c r="A1" s="55" t="s">
        <v>0</v>
      </c>
      <c r="B1" s="172" t="s">
        <v>474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55"/>
    </row>
    <row r="2" spans="1:24" ht="10.5" customHeight="1">
      <c r="A2" s="55"/>
      <c r="B2" s="56"/>
      <c r="C2" s="70"/>
      <c r="D2" s="56"/>
      <c r="E2" s="45"/>
      <c r="F2" s="45"/>
      <c r="G2" s="56"/>
      <c r="H2" s="37"/>
      <c r="I2" s="37"/>
      <c r="J2" s="82"/>
      <c r="K2" s="82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5"/>
    </row>
    <row r="3" spans="1:24" ht="15.75" customHeight="1">
      <c r="A3" s="55"/>
      <c r="B3" s="56"/>
      <c r="C3" s="71" t="s">
        <v>260</v>
      </c>
      <c r="D3" s="56"/>
      <c r="E3" s="45"/>
      <c r="F3" s="45"/>
      <c r="G3" s="56"/>
      <c r="H3" s="156" t="s">
        <v>333</v>
      </c>
      <c r="I3" s="156"/>
      <c r="J3" s="156"/>
      <c r="K3" s="156"/>
      <c r="L3" s="1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5"/>
    </row>
    <row r="4" spans="1:24" ht="18" customHeight="1">
      <c r="A4" s="55"/>
      <c r="B4" s="56"/>
      <c r="C4" s="71" t="s">
        <v>261</v>
      </c>
      <c r="D4" s="56"/>
      <c r="E4" s="45"/>
      <c r="F4" s="45"/>
      <c r="G4" s="56"/>
      <c r="H4" s="37"/>
      <c r="I4" s="37"/>
      <c r="J4" s="82"/>
      <c r="K4" s="82"/>
      <c r="L4" s="56"/>
      <c r="M4" s="56"/>
      <c r="N4" s="56"/>
      <c r="O4" s="56"/>
      <c r="P4" s="56"/>
      <c r="Q4" s="56"/>
      <c r="R4" s="56"/>
      <c r="S4" s="56"/>
      <c r="T4" s="56"/>
      <c r="U4" s="56"/>
      <c r="V4" s="142">
        <v>44155</v>
      </c>
      <c r="W4" s="143"/>
      <c r="X4" s="55"/>
    </row>
    <row r="5" spans="1:24" s="36" customFormat="1" ht="24.75" customHeight="1">
      <c r="A5" s="121"/>
      <c r="B5" s="163" t="s">
        <v>14</v>
      </c>
      <c r="C5" s="163"/>
      <c r="D5" s="163" t="s">
        <v>20</v>
      </c>
      <c r="E5" s="163"/>
      <c r="F5" s="163"/>
      <c r="G5" s="163"/>
      <c r="H5" s="163"/>
      <c r="I5" s="163"/>
      <c r="J5" s="174" t="s">
        <v>13</v>
      </c>
      <c r="K5" s="175"/>
      <c r="L5" s="163" t="s">
        <v>17</v>
      </c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21"/>
    </row>
    <row r="6" spans="1:24" s="36" customFormat="1" ht="27" customHeight="1">
      <c r="A6" s="121" t="s">
        <v>1</v>
      </c>
      <c r="B6" s="163"/>
      <c r="C6" s="163"/>
      <c r="D6" s="163" t="s">
        <v>10</v>
      </c>
      <c r="E6" s="163"/>
      <c r="F6" s="163"/>
      <c r="G6" s="163" t="s">
        <v>255</v>
      </c>
      <c r="H6" s="163"/>
      <c r="I6" s="163"/>
      <c r="J6" s="175"/>
      <c r="K6" s="175"/>
      <c r="L6" s="163" t="s">
        <v>311</v>
      </c>
      <c r="M6" s="163"/>
      <c r="N6" s="161" t="s">
        <v>312</v>
      </c>
      <c r="O6" s="173" t="s">
        <v>313</v>
      </c>
      <c r="P6" s="159"/>
      <c r="Q6" s="160"/>
      <c r="R6" s="158">
        <v>2022</v>
      </c>
      <c r="S6" s="159"/>
      <c r="T6" s="160"/>
      <c r="U6" s="158">
        <v>2023</v>
      </c>
      <c r="V6" s="159"/>
      <c r="W6" s="160"/>
      <c r="X6" s="121"/>
    </row>
    <row r="7" spans="1:24" s="36" customFormat="1" ht="63" customHeight="1">
      <c r="A7" s="121" t="s">
        <v>2</v>
      </c>
      <c r="B7" s="163"/>
      <c r="C7" s="163"/>
      <c r="D7" s="38" t="s">
        <v>8</v>
      </c>
      <c r="E7" s="46" t="s">
        <v>9</v>
      </c>
      <c r="F7" s="46" t="s">
        <v>3</v>
      </c>
      <c r="G7" s="38" t="s">
        <v>8</v>
      </c>
      <c r="H7" s="38" t="s">
        <v>9</v>
      </c>
      <c r="I7" s="38" t="s">
        <v>3</v>
      </c>
      <c r="J7" s="83" t="s">
        <v>15</v>
      </c>
      <c r="K7" s="83" t="s">
        <v>16</v>
      </c>
      <c r="L7" s="38" t="s">
        <v>11</v>
      </c>
      <c r="M7" s="38" t="s">
        <v>12</v>
      </c>
      <c r="N7" s="162"/>
      <c r="O7" s="38" t="s">
        <v>245</v>
      </c>
      <c r="P7" s="38" t="s">
        <v>246</v>
      </c>
      <c r="Q7" s="38" t="s">
        <v>247</v>
      </c>
      <c r="R7" s="38" t="s">
        <v>245</v>
      </c>
      <c r="S7" s="38" t="s">
        <v>246</v>
      </c>
      <c r="T7" s="38" t="s">
        <v>247</v>
      </c>
      <c r="U7" s="38" t="s">
        <v>245</v>
      </c>
      <c r="V7" s="38" t="s">
        <v>246</v>
      </c>
      <c r="W7" s="38" t="s">
        <v>247</v>
      </c>
      <c r="X7" s="121"/>
    </row>
    <row r="8" spans="1:24" s="36" customFormat="1" ht="19.5" customHeight="1">
      <c r="A8" s="121" t="s">
        <v>4</v>
      </c>
      <c r="B8" s="38"/>
      <c r="C8" s="122">
        <v>1</v>
      </c>
      <c r="D8" s="38">
        <v>2</v>
      </c>
      <c r="E8" s="46">
        <v>3</v>
      </c>
      <c r="F8" s="46">
        <v>4</v>
      </c>
      <c r="G8" s="38">
        <v>5</v>
      </c>
      <c r="H8" s="38">
        <v>6</v>
      </c>
      <c r="I8" s="38">
        <v>7</v>
      </c>
      <c r="J8" s="83" t="s">
        <v>4</v>
      </c>
      <c r="K8" s="83" t="s">
        <v>244</v>
      </c>
      <c r="L8" s="38">
        <v>10</v>
      </c>
      <c r="M8" s="38">
        <v>11</v>
      </c>
      <c r="N8" s="38">
        <v>12</v>
      </c>
      <c r="O8" s="131">
        <v>13</v>
      </c>
      <c r="P8" s="38">
        <v>14</v>
      </c>
      <c r="Q8" s="38">
        <v>15</v>
      </c>
      <c r="R8" s="131">
        <v>16</v>
      </c>
      <c r="S8" s="38">
        <v>17</v>
      </c>
      <c r="T8" s="38">
        <v>18</v>
      </c>
      <c r="U8" s="131">
        <v>19</v>
      </c>
      <c r="V8" s="38">
        <v>20</v>
      </c>
      <c r="W8" s="38">
        <v>21</v>
      </c>
      <c r="X8" s="121"/>
    </row>
    <row r="9" spans="1:28" ht="40.5" customHeight="1">
      <c r="A9" s="55" t="s">
        <v>5</v>
      </c>
      <c r="B9" s="164"/>
      <c r="C9" s="170" t="s">
        <v>222</v>
      </c>
      <c r="D9" s="146" t="s">
        <v>19</v>
      </c>
      <c r="E9" s="148" t="s">
        <v>19</v>
      </c>
      <c r="F9" s="148" t="s">
        <v>19</v>
      </c>
      <c r="G9" s="146" t="s">
        <v>19</v>
      </c>
      <c r="H9" s="168" t="s">
        <v>19</v>
      </c>
      <c r="I9" s="168" t="s">
        <v>19</v>
      </c>
      <c r="J9" s="151" t="s">
        <v>19</v>
      </c>
      <c r="K9" s="151" t="s">
        <v>19</v>
      </c>
      <c r="L9" s="140">
        <f>L11</f>
        <v>180647.39999999997</v>
      </c>
      <c r="M9" s="140">
        <f>M11</f>
        <v>139149.40000000002</v>
      </c>
      <c r="N9" s="140">
        <f>N11</f>
        <v>233663.7</v>
      </c>
      <c r="O9" s="140">
        <f>P9+Q9</f>
        <v>302038.6</v>
      </c>
      <c r="P9" s="140">
        <f>P11</f>
        <v>302030.6</v>
      </c>
      <c r="Q9" s="140">
        <f>Q11</f>
        <v>8</v>
      </c>
      <c r="R9" s="140">
        <f>S9+T9</f>
        <v>134572.4</v>
      </c>
      <c r="S9" s="140">
        <f>S11</f>
        <v>134572.4</v>
      </c>
      <c r="T9" s="140">
        <f>T11</f>
        <v>0</v>
      </c>
      <c r="U9" s="140">
        <f>V9+W9</f>
        <v>184494.80000000002</v>
      </c>
      <c r="V9" s="140">
        <f>V11</f>
        <v>184494.80000000002</v>
      </c>
      <c r="W9" s="140">
        <f>W11</f>
        <v>0</v>
      </c>
      <c r="X9" s="55"/>
      <c r="Y9" s="50"/>
      <c r="Z9" s="50"/>
      <c r="AA9" s="50"/>
      <c r="AB9" s="50"/>
    </row>
    <row r="10" spans="1:33" ht="44.25" customHeight="1">
      <c r="A10" s="55" t="s">
        <v>6</v>
      </c>
      <c r="B10" s="164"/>
      <c r="C10" s="171"/>
      <c r="D10" s="165"/>
      <c r="E10" s="166"/>
      <c r="F10" s="166"/>
      <c r="G10" s="165"/>
      <c r="H10" s="169"/>
      <c r="I10" s="169"/>
      <c r="J10" s="167"/>
      <c r="K10" s="167"/>
      <c r="L10" s="141"/>
      <c r="M10" s="157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55"/>
      <c r="Y10" s="50"/>
      <c r="Z10" s="50"/>
      <c r="AA10" s="50"/>
      <c r="AB10" s="50"/>
      <c r="AC10" s="50"/>
      <c r="AD10" s="50"/>
      <c r="AE10" s="50"/>
      <c r="AF10" s="50"/>
      <c r="AG10" s="50">
        <f>Z9</f>
        <v>0</v>
      </c>
    </row>
    <row r="11" spans="1:30" ht="53.25" customHeight="1">
      <c r="A11" s="55"/>
      <c r="B11" s="42"/>
      <c r="C11" s="72" t="s">
        <v>223</v>
      </c>
      <c r="D11" s="57" t="s">
        <v>19</v>
      </c>
      <c r="E11" s="86" t="s">
        <v>19</v>
      </c>
      <c r="F11" s="86" t="s">
        <v>19</v>
      </c>
      <c r="G11" s="57" t="s">
        <v>19</v>
      </c>
      <c r="H11" s="84" t="s">
        <v>19</v>
      </c>
      <c r="I11" s="84" t="s">
        <v>19</v>
      </c>
      <c r="J11" s="85" t="s">
        <v>19</v>
      </c>
      <c r="K11" s="85" t="s">
        <v>19</v>
      </c>
      <c r="L11" s="123">
        <f>SUM(L12:L33)</f>
        <v>180647.39999999997</v>
      </c>
      <c r="M11" s="123">
        <f aca="true" t="shared" si="0" ref="M11:V11">SUM(M12:M33)</f>
        <v>139149.40000000002</v>
      </c>
      <c r="N11" s="123">
        <f t="shared" si="0"/>
        <v>233663.7</v>
      </c>
      <c r="O11" s="123">
        <f t="shared" si="0"/>
        <v>302038.6</v>
      </c>
      <c r="P11" s="123">
        <f t="shared" si="0"/>
        <v>302030.6</v>
      </c>
      <c r="Q11" s="123">
        <f t="shared" si="0"/>
        <v>8</v>
      </c>
      <c r="R11" s="123">
        <f t="shared" si="0"/>
        <v>134572.4</v>
      </c>
      <c r="S11" s="123">
        <f t="shared" si="0"/>
        <v>134572.4</v>
      </c>
      <c r="T11" s="123">
        <f t="shared" si="0"/>
        <v>0</v>
      </c>
      <c r="U11" s="123">
        <f t="shared" si="0"/>
        <v>184494.80000000002</v>
      </c>
      <c r="V11" s="123">
        <f t="shared" si="0"/>
        <v>184494.80000000002</v>
      </c>
      <c r="W11" s="123">
        <f>SUM(W12:W31)</f>
        <v>0</v>
      </c>
      <c r="X11" s="55"/>
      <c r="Y11" s="50"/>
      <c r="Z11" s="50"/>
      <c r="AA11" s="50"/>
      <c r="AB11" s="50"/>
      <c r="AC11" s="50"/>
      <c r="AD11" s="50"/>
    </row>
    <row r="12" spans="1:30" ht="123.75" customHeight="1">
      <c r="A12" s="55"/>
      <c r="B12" s="42"/>
      <c r="C12" s="73" t="s">
        <v>328</v>
      </c>
      <c r="D12" s="58" t="s">
        <v>30</v>
      </c>
      <c r="E12" s="86" t="s">
        <v>329</v>
      </c>
      <c r="F12" s="86" t="s">
        <v>330</v>
      </c>
      <c r="G12" s="59" t="s">
        <v>31</v>
      </c>
      <c r="H12" s="87" t="s">
        <v>331</v>
      </c>
      <c r="I12" s="87" t="s">
        <v>32</v>
      </c>
      <c r="J12" s="85" t="s">
        <v>21</v>
      </c>
      <c r="K12" s="85" t="s">
        <v>332</v>
      </c>
      <c r="L12" s="125">
        <f>958.9+8458.8</f>
        <v>9417.699999999999</v>
      </c>
      <c r="M12" s="125">
        <f>958.8+8322.9</f>
        <v>9281.699999999999</v>
      </c>
      <c r="N12" s="125">
        <f>988.3+7712.5</f>
        <v>8700.8</v>
      </c>
      <c r="O12" s="126">
        <f aca="true" t="shared" si="1" ref="O12:O19">P12+Q12</f>
        <v>8655.3</v>
      </c>
      <c r="P12" s="125">
        <f>1004.1+7651.2</f>
        <v>8655.3</v>
      </c>
      <c r="Q12" s="125"/>
      <c r="R12" s="126">
        <f aca="true" t="shared" si="2" ref="R12:R19">S12+T12</f>
        <v>8646</v>
      </c>
      <c r="S12" s="125">
        <f>1004.1+7641.9</f>
        <v>8646</v>
      </c>
      <c r="T12" s="125"/>
      <c r="U12" s="126">
        <f aca="true" t="shared" si="3" ref="U12:U19">V12+W12</f>
        <v>8646</v>
      </c>
      <c r="V12" s="125">
        <f>1004.1+7641.9</f>
        <v>8646</v>
      </c>
      <c r="W12" s="125"/>
      <c r="X12" s="55"/>
      <c r="Y12" s="50"/>
      <c r="Z12" s="50"/>
      <c r="AA12" s="50"/>
      <c r="AB12" s="50"/>
      <c r="AC12" s="50"/>
      <c r="AD12" s="50"/>
    </row>
    <row r="13" spans="1:30" ht="72.75" customHeight="1">
      <c r="A13" s="55"/>
      <c r="B13" s="42"/>
      <c r="C13" s="72" t="s">
        <v>438</v>
      </c>
      <c r="D13" s="58" t="s">
        <v>33</v>
      </c>
      <c r="E13" s="86" t="s">
        <v>398</v>
      </c>
      <c r="F13" s="86" t="s">
        <v>439</v>
      </c>
      <c r="G13" s="59" t="s">
        <v>31</v>
      </c>
      <c r="H13" s="87" t="s">
        <v>331</v>
      </c>
      <c r="I13" s="87" t="s">
        <v>32</v>
      </c>
      <c r="J13" s="85" t="s">
        <v>21</v>
      </c>
      <c r="K13" s="85" t="s">
        <v>332</v>
      </c>
      <c r="L13" s="124">
        <v>982.1</v>
      </c>
      <c r="M13" s="125">
        <v>755.1</v>
      </c>
      <c r="N13" s="124">
        <v>997.1</v>
      </c>
      <c r="O13" s="132">
        <f>P13+Q13</f>
        <v>997.1</v>
      </c>
      <c r="P13" s="124">
        <v>997.1</v>
      </c>
      <c r="Q13" s="124">
        <v>0</v>
      </c>
      <c r="R13" s="132">
        <f>S13+T13</f>
        <v>997.1</v>
      </c>
      <c r="S13" s="124">
        <v>997.1</v>
      </c>
      <c r="T13" s="124">
        <v>0</v>
      </c>
      <c r="U13" s="132">
        <f>V13+W13</f>
        <v>997.1</v>
      </c>
      <c r="V13" s="124">
        <v>997.1</v>
      </c>
      <c r="W13" s="124">
        <v>0</v>
      </c>
      <c r="X13" s="55"/>
      <c r="Y13" s="50"/>
      <c r="Z13" s="50"/>
      <c r="AA13" s="50"/>
      <c r="AB13" s="50"/>
      <c r="AC13" s="50"/>
      <c r="AD13" s="50"/>
    </row>
    <row r="14" spans="1:30" ht="127.5" customHeight="1">
      <c r="A14" s="55"/>
      <c r="B14" s="41"/>
      <c r="C14" s="73" t="s">
        <v>224</v>
      </c>
      <c r="D14" s="58" t="s">
        <v>101</v>
      </c>
      <c r="E14" s="86" t="s">
        <v>102</v>
      </c>
      <c r="F14" s="86" t="s">
        <v>291</v>
      </c>
      <c r="G14" s="59" t="s">
        <v>103</v>
      </c>
      <c r="H14" s="87" t="s">
        <v>104</v>
      </c>
      <c r="I14" s="87" t="s">
        <v>105</v>
      </c>
      <c r="J14" s="88" t="s">
        <v>256</v>
      </c>
      <c r="K14" s="88" t="s">
        <v>257</v>
      </c>
      <c r="L14" s="125">
        <f>247+2750+3.8+300+9.5</f>
        <v>3310.3</v>
      </c>
      <c r="M14" s="125">
        <v>3258.5</v>
      </c>
      <c r="N14" s="125">
        <v>247</v>
      </c>
      <c r="O14" s="126">
        <f t="shared" si="1"/>
        <v>222.3</v>
      </c>
      <c r="P14" s="125">
        <f>85+99.5+37.8</f>
        <v>222.3</v>
      </c>
      <c r="Q14" s="125"/>
      <c r="R14" s="126">
        <f t="shared" si="2"/>
        <v>0</v>
      </c>
      <c r="S14" s="125"/>
      <c r="T14" s="125"/>
      <c r="U14" s="126">
        <f t="shared" si="3"/>
        <v>0</v>
      </c>
      <c r="V14" s="125"/>
      <c r="W14" s="125"/>
      <c r="X14" s="55"/>
      <c r="Y14" s="50"/>
      <c r="Z14" s="50"/>
      <c r="AA14" s="50"/>
      <c r="AB14" s="50"/>
      <c r="AC14" s="50"/>
      <c r="AD14" s="50"/>
    </row>
    <row r="15" spans="1:30" ht="228.75" customHeight="1">
      <c r="A15" s="55"/>
      <c r="B15" s="41"/>
      <c r="C15" s="73" t="s">
        <v>225</v>
      </c>
      <c r="D15" s="58" t="s">
        <v>153</v>
      </c>
      <c r="E15" s="86" t="s">
        <v>154</v>
      </c>
      <c r="F15" s="86" t="s">
        <v>290</v>
      </c>
      <c r="G15" s="58" t="s">
        <v>155</v>
      </c>
      <c r="H15" s="86" t="s">
        <v>156</v>
      </c>
      <c r="I15" s="86" t="s">
        <v>157</v>
      </c>
      <c r="J15" s="88" t="s">
        <v>309</v>
      </c>
      <c r="K15" s="88" t="s">
        <v>310</v>
      </c>
      <c r="L15" s="125"/>
      <c r="M15" s="125"/>
      <c r="N15" s="125">
        <f>1524+2459.6+80+821.7</f>
        <v>4885.3</v>
      </c>
      <c r="O15" s="126">
        <f t="shared" si="1"/>
        <v>22205</v>
      </c>
      <c r="P15" s="125">
        <v>22205</v>
      </c>
      <c r="Q15" s="125"/>
      <c r="R15" s="126">
        <f t="shared" si="2"/>
        <v>0</v>
      </c>
      <c r="S15" s="125"/>
      <c r="T15" s="125"/>
      <c r="U15" s="126">
        <f t="shared" si="3"/>
        <v>0</v>
      </c>
      <c r="V15" s="125"/>
      <c r="W15" s="125"/>
      <c r="X15" s="55"/>
      <c r="Y15" s="50"/>
      <c r="Z15" s="50"/>
      <c r="AA15" s="50"/>
      <c r="AB15" s="50"/>
      <c r="AC15" s="50"/>
      <c r="AD15" s="50"/>
    </row>
    <row r="16" spans="1:30" ht="216.75" customHeight="1">
      <c r="A16" s="55"/>
      <c r="B16" s="41"/>
      <c r="C16" s="73" t="s">
        <v>226</v>
      </c>
      <c r="D16" s="58" t="s">
        <v>133</v>
      </c>
      <c r="E16" s="86" t="s">
        <v>134</v>
      </c>
      <c r="F16" s="86" t="s">
        <v>135</v>
      </c>
      <c r="G16" s="58" t="s">
        <v>136</v>
      </c>
      <c r="H16" s="86" t="s">
        <v>137</v>
      </c>
      <c r="I16" s="86" t="s">
        <v>193</v>
      </c>
      <c r="J16" s="88" t="s">
        <v>22</v>
      </c>
      <c r="K16" s="88" t="s">
        <v>138</v>
      </c>
      <c r="L16" s="125">
        <f>4033.6+1281</f>
        <v>5314.6</v>
      </c>
      <c r="M16" s="125">
        <v>4499.1</v>
      </c>
      <c r="N16" s="125">
        <f>7008.4-30</f>
        <v>6978.4</v>
      </c>
      <c r="O16" s="126">
        <f t="shared" si="1"/>
        <v>4264.9</v>
      </c>
      <c r="P16" s="125">
        <v>4264.9</v>
      </c>
      <c r="Q16" s="125"/>
      <c r="R16" s="126">
        <f t="shared" si="2"/>
        <v>0</v>
      </c>
      <c r="S16" s="125"/>
      <c r="T16" s="125"/>
      <c r="U16" s="126">
        <f t="shared" si="3"/>
        <v>0</v>
      </c>
      <c r="V16" s="125"/>
      <c r="W16" s="125"/>
      <c r="X16" s="55"/>
      <c r="Y16" s="50"/>
      <c r="Z16" s="50"/>
      <c r="AA16" s="50"/>
      <c r="AB16" s="50"/>
      <c r="AC16" s="50"/>
      <c r="AD16" s="50"/>
    </row>
    <row r="17" spans="1:30" ht="90" customHeight="1">
      <c r="A17" s="55"/>
      <c r="B17" s="41"/>
      <c r="C17" s="73" t="s">
        <v>397</v>
      </c>
      <c r="D17" s="58" t="s">
        <v>33</v>
      </c>
      <c r="E17" s="86" t="s">
        <v>398</v>
      </c>
      <c r="F17" s="86" t="s">
        <v>285</v>
      </c>
      <c r="G17" s="60" t="s">
        <v>399</v>
      </c>
      <c r="H17" s="101" t="s">
        <v>400</v>
      </c>
      <c r="I17" s="113" t="s">
        <v>401</v>
      </c>
      <c r="J17" s="90" t="s">
        <v>209</v>
      </c>
      <c r="K17" s="90" t="s">
        <v>301</v>
      </c>
      <c r="L17" s="124">
        <v>1</v>
      </c>
      <c r="M17" s="124">
        <v>1</v>
      </c>
      <c r="N17" s="124">
        <v>1</v>
      </c>
      <c r="O17" s="132">
        <v>1</v>
      </c>
      <c r="P17" s="124">
        <v>1</v>
      </c>
      <c r="Q17" s="124">
        <v>0</v>
      </c>
      <c r="R17" s="132">
        <v>1</v>
      </c>
      <c r="S17" s="124">
        <v>1</v>
      </c>
      <c r="T17" s="124">
        <v>0</v>
      </c>
      <c r="U17" s="132">
        <v>1</v>
      </c>
      <c r="V17" s="124">
        <v>1</v>
      </c>
      <c r="W17" s="124">
        <v>0</v>
      </c>
      <c r="X17" s="55"/>
      <c r="Y17" s="50"/>
      <c r="Z17" s="50"/>
      <c r="AA17" s="50"/>
      <c r="AB17" s="50"/>
      <c r="AC17" s="50"/>
      <c r="AD17" s="50"/>
    </row>
    <row r="18" spans="1:30" ht="228.75" customHeight="1">
      <c r="A18" s="55"/>
      <c r="B18" s="41"/>
      <c r="C18" s="73" t="s">
        <v>227</v>
      </c>
      <c r="D18" s="58" t="s">
        <v>26</v>
      </c>
      <c r="E18" s="86" t="s">
        <v>440</v>
      </c>
      <c r="F18" s="86" t="s">
        <v>27</v>
      </c>
      <c r="G18" s="58" t="s">
        <v>28</v>
      </c>
      <c r="H18" s="86" t="s">
        <v>441</v>
      </c>
      <c r="I18" s="86" t="s">
        <v>29</v>
      </c>
      <c r="J18" s="88" t="s">
        <v>442</v>
      </c>
      <c r="K18" s="88" t="s">
        <v>443</v>
      </c>
      <c r="L18" s="125">
        <f>3132.2+2759.1</f>
        <v>5891.299999999999</v>
      </c>
      <c r="M18" s="125">
        <f>2497.6</f>
        <v>2497.6</v>
      </c>
      <c r="N18" s="125">
        <f>3150.1+5877.7</f>
        <v>9027.8</v>
      </c>
      <c r="O18" s="126">
        <f t="shared" si="1"/>
        <v>7901.8</v>
      </c>
      <c r="P18" s="125">
        <f>970.1+6931.7</f>
        <v>7901.8</v>
      </c>
      <c r="Q18" s="125"/>
      <c r="R18" s="126">
        <f t="shared" si="2"/>
        <v>537.2</v>
      </c>
      <c r="S18" s="125">
        <f>402.2+135</f>
        <v>537.2</v>
      </c>
      <c r="T18" s="125"/>
      <c r="U18" s="126">
        <f t="shared" si="3"/>
        <v>7790.599999999999</v>
      </c>
      <c r="V18" s="125">
        <f>858.9+6931.7</f>
        <v>7790.599999999999</v>
      </c>
      <c r="W18" s="125"/>
      <c r="X18" s="55"/>
      <c r="Y18" s="50"/>
      <c r="Z18" s="50"/>
      <c r="AA18" s="50"/>
      <c r="AB18" s="50"/>
      <c r="AC18" s="50"/>
      <c r="AD18" s="50"/>
    </row>
    <row r="19" spans="1:30" ht="181.5" customHeight="1">
      <c r="A19" s="55"/>
      <c r="B19" s="41"/>
      <c r="C19" s="73" t="s">
        <v>228</v>
      </c>
      <c r="D19" s="58" t="s">
        <v>145</v>
      </c>
      <c r="E19" s="86" t="s">
        <v>146</v>
      </c>
      <c r="F19" s="86" t="s">
        <v>147</v>
      </c>
      <c r="G19" s="58" t="s">
        <v>148</v>
      </c>
      <c r="H19" s="86" t="s">
        <v>149</v>
      </c>
      <c r="I19" s="86" t="s">
        <v>150</v>
      </c>
      <c r="J19" s="88" t="s">
        <v>306</v>
      </c>
      <c r="K19" s="88" t="s">
        <v>307</v>
      </c>
      <c r="L19" s="125">
        <v>1624.9</v>
      </c>
      <c r="M19" s="125">
        <v>115.3</v>
      </c>
      <c r="N19" s="125">
        <f>1852.6-80</f>
        <v>1772.6</v>
      </c>
      <c r="O19" s="126">
        <f t="shared" si="1"/>
        <v>3782.4</v>
      </c>
      <c r="P19" s="125">
        <f>20.3+3762.1</f>
        <v>3782.4</v>
      </c>
      <c r="Q19" s="125"/>
      <c r="R19" s="126">
        <f t="shared" si="2"/>
        <v>0</v>
      </c>
      <c r="S19" s="125"/>
      <c r="T19" s="125"/>
      <c r="U19" s="126">
        <f t="shared" si="3"/>
        <v>0</v>
      </c>
      <c r="V19" s="125"/>
      <c r="W19" s="125"/>
      <c r="X19" s="55"/>
      <c r="Y19" s="50"/>
      <c r="Z19" s="50"/>
      <c r="AA19" s="50"/>
      <c r="AB19" s="50"/>
      <c r="AC19" s="50"/>
      <c r="AD19" s="50"/>
    </row>
    <row r="20" spans="1:30" ht="290.25" customHeight="1">
      <c r="A20" s="55"/>
      <c r="B20" s="41"/>
      <c r="C20" s="73" t="s">
        <v>305</v>
      </c>
      <c r="D20" s="58" t="s">
        <v>402</v>
      </c>
      <c r="E20" s="86" t="s">
        <v>403</v>
      </c>
      <c r="F20" s="86" t="s">
        <v>404</v>
      </c>
      <c r="G20" s="58" t="s">
        <v>405</v>
      </c>
      <c r="H20" s="86" t="s">
        <v>406</v>
      </c>
      <c r="I20" s="91" t="s">
        <v>407</v>
      </c>
      <c r="J20" s="88" t="s">
        <v>408</v>
      </c>
      <c r="K20" s="88" t="s">
        <v>409</v>
      </c>
      <c r="L20" s="125">
        <f>8524.6+61250.7+5585.5+3611.6</f>
        <v>78972.40000000001</v>
      </c>
      <c r="M20" s="125">
        <f>7738+55769+5579.7+3605.8</f>
        <v>72692.5</v>
      </c>
      <c r="N20" s="125">
        <f>62465.9+6827.6+11627.1</f>
        <v>80920.6</v>
      </c>
      <c r="O20" s="126">
        <f>P20+Q20</f>
        <v>64686.4</v>
      </c>
      <c r="P20" s="125">
        <f>53275.9+6191+4008+1203.5</f>
        <v>64678.4</v>
      </c>
      <c r="Q20" s="125">
        <f>5.8+2.2</f>
        <v>8</v>
      </c>
      <c r="R20" s="126">
        <f>S20+T20</f>
        <v>65888.40000000001</v>
      </c>
      <c r="S20" s="125">
        <f>55708.4+6169.8+4010.2</f>
        <v>65888.40000000001</v>
      </c>
      <c r="T20" s="125"/>
      <c r="U20" s="126">
        <f>V20+W20</f>
        <v>68646.40000000001</v>
      </c>
      <c r="V20" s="125">
        <f>58484.4+6151.8+4010.2</f>
        <v>68646.40000000001</v>
      </c>
      <c r="W20" s="125"/>
      <c r="X20" s="55"/>
      <c r="Y20" s="50"/>
      <c r="Z20" s="50"/>
      <c r="AA20" s="50"/>
      <c r="AB20" s="50"/>
      <c r="AC20" s="50"/>
      <c r="AD20" s="50"/>
    </row>
    <row r="21" spans="1:30" ht="71.25" customHeight="1">
      <c r="A21" s="55"/>
      <c r="B21" s="41"/>
      <c r="C21" s="74" t="s">
        <v>268</v>
      </c>
      <c r="D21" s="58" t="s">
        <v>292</v>
      </c>
      <c r="E21" s="86" t="s">
        <v>294</v>
      </c>
      <c r="F21" s="86" t="s">
        <v>293</v>
      </c>
      <c r="G21" s="58"/>
      <c r="H21" s="86"/>
      <c r="I21" s="86"/>
      <c r="J21" s="88" t="s">
        <v>23</v>
      </c>
      <c r="K21" s="88" t="s">
        <v>108</v>
      </c>
      <c r="L21" s="125">
        <f>2198.5-947.7+3709.3+363.1-2283.5</f>
        <v>3039.7000000000007</v>
      </c>
      <c r="M21" s="125">
        <v>2907.4</v>
      </c>
      <c r="N21" s="125">
        <f>619.8+1759.5</f>
        <v>2379.3</v>
      </c>
      <c r="O21" s="126">
        <f>P21+Q21</f>
        <v>601.3</v>
      </c>
      <c r="P21" s="125">
        <f>410.7+190.6</f>
        <v>601.3</v>
      </c>
      <c r="Q21" s="125"/>
      <c r="R21" s="126"/>
      <c r="S21" s="125"/>
      <c r="T21" s="125"/>
      <c r="U21" s="126"/>
      <c r="V21" s="125"/>
      <c r="W21" s="125"/>
      <c r="X21" s="55"/>
      <c r="Y21" s="50"/>
      <c r="Z21" s="50"/>
      <c r="AA21" s="50"/>
      <c r="AB21" s="50"/>
      <c r="AC21" s="50"/>
      <c r="AD21" s="50"/>
    </row>
    <row r="22" spans="1:30" ht="116.25" customHeight="1">
      <c r="A22" s="55"/>
      <c r="B22" s="41"/>
      <c r="C22" s="73" t="s">
        <v>229</v>
      </c>
      <c r="D22" s="58" t="s">
        <v>186</v>
      </c>
      <c r="E22" s="86" t="s">
        <v>187</v>
      </c>
      <c r="F22" s="86" t="s">
        <v>289</v>
      </c>
      <c r="G22" s="58" t="s">
        <v>188</v>
      </c>
      <c r="H22" s="86" t="s">
        <v>189</v>
      </c>
      <c r="I22" s="86" t="s">
        <v>190</v>
      </c>
      <c r="J22" s="88" t="s">
        <v>258</v>
      </c>
      <c r="K22" s="88" t="s">
        <v>259</v>
      </c>
      <c r="L22" s="125">
        <f>518.3+68.1+0.1-8.8</f>
        <v>577.7</v>
      </c>
      <c r="M22" s="125">
        <v>575.9</v>
      </c>
      <c r="N22" s="125">
        <v>578.8</v>
      </c>
      <c r="O22" s="126">
        <f>P22+Q22</f>
        <v>948.7</v>
      </c>
      <c r="P22" s="125">
        <f>601.1-0.4+348</f>
        <v>948.7</v>
      </c>
      <c r="Q22" s="125"/>
      <c r="R22" s="126">
        <f>S22+T22</f>
        <v>588.1</v>
      </c>
      <c r="S22" s="125">
        <f>601.1-13</f>
        <v>588.1</v>
      </c>
      <c r="T22" s="125"/>
      <c r="U22" s="126">
        <f>V22+W22</f>
        <v>588.1</v>
      </c>
      <c r="V22" s="125">
        <f>601.1-13</f>
        <v>588.1</v>
      </c>
      <c r="W22" s="125"/>
      <c r="X22" s="55"/>
      <c r="Y22" s="50"/>
      <c r="Z22" s="50"/>
      <c r="AA22" s="50"/>
      <c r="AB22" s="50"/>
      <c r="AC22" s="50"/>
      <c r="AD22" s="50"/>
    </row>
    <row r="23" spans="1:30" ht="72" customHeight="1">
      <c r="A23" s="55"/>
      <c r="B23" s="41"/>
      <c r="C23" s="73" t="s">
        <v>252</v>
      </c>
      <c r="D23" s="58" t="s">
        <v>33</v>
      </c>
      <c r="E23" s="86" t="s">
        <v>143</v>
      </c>
      <c r="F23" s="86" t="s">
        <v>285</v>
      </c>
      <c r="G23" s="57" t="s">
        <v>197</v>
      </c>
      <c r="H23" s="86" t="s">
        <v>198</v>
      </c>
      <c r="I23" s="91" t="s">
        <v>199</v>
      </c>
      <c r="J23" s="88" t="s">
        <v>23</v>
      </c>
      <c r="K23" s="88" t="s">
        <v>108</v>
      </c>
      <c r="L23" s="125">
        <v>304.6</v>
      </c>
      <c r="M23" s="125">
        <v>304.6</v>
      </c>
      <c r="N23" s="125">
        <f>613+91</f>
        <v>704</v>
      </c>
      <c r="O23" s="126">
        <f>P23+Q23</f>
        <v>0</v>
      </c>
      <c r="P23" s="125"/>
      <c r="Q23" s="125"/>
      <c r="R23" s="126">
        <f>S23+T23</f>
        <v>0</v>
      </c>
      <c r="S23" s="125"/>
      <c r="T23" s="125"/>
      <c r="U23" s="126">
        <f>V23+W23</f>
        <v>0</v>
      </c>
      <c r="V23" s="125"/>
      <c r="W23" s="125"/>
      <c r="X23" s="55"/>
      <c r="Y23" s="50"/>
      <c r="Z23" s="50"/>
      <c r="AA23" s="50"/>
      <c r="AB23" s="50"/>
      <c r="AC23" s="50"/>
      <c r="AD23" s="50"/>
    </row>
    <row r="24" spans="1:30" ht="58.5" customHeight="1">
      <c r="A24" s="55"/>
      <c r="B24" s="41"/>
      <c r="C24" s="73" t="s">
        <v>455</v>
      </c>
      <c r="D24" s="57" t="s">
        <v>462</v>
      </c>
      <c r="E24" s="86" t="s">
        <v>456</v>
      </c>
      <c r="F24" s="91">
        <v>34697</v>
      </c>
      <c r="G24" s="57"/>
      <c r="H24" s="86"/>
      <c r="I24" s="91"/>
      <c r="J24" s="85" t="s">
        <v>138</v>
      </c>
      <c r="K24" s="85" t="s">
        <v>21</v>
      </c>
      <c r="L24" s="125">
        <v>11495</v>
      </c>
      <c r="M24" s="125">
        <v>11495</v>
      </c>
      <c r="N24" s="125">
        <v>11680.6</v>
      </c>
      <c r="O24" s="126">
        <v>11664.6</v>
      </c>
      <c r="P24" s="125">
        <f>O24</f>
        <v>11664.6</v>
      </c>
      <c r="Q24" s="125"/>
      <c r="R24" s="126">
        <v>11537.3</v>
      </c>
      <c r="S24" s="125">
        <f>R24</f>
        <v>11537.3</v>
      </c>
      <c r="T24" s="125"/>
      <c r="U24" s="126">
        <v>11537.3</v>
      </c>
      <c r="V24" s="125">
        <f>U24</f>
        <v>11537.3</v>
      </c>
      <c r="W24" s="123"/>
      <c r="X24" s="55"/>
      <c r="Y24" s="50"/>
      <c r="Z24" s="50"/>
      <c r="AA24" s="50"/>
      <c r="AB24" s="50"/>
      <c r="AC24" s="50"/>
      <c r="AD24" s="50"/>
    </row>
    <row r="25" spans="1:30" ht="71.25" customHeight="1">
      <c r="A25" s="55"/>
      <c r="B25" s="41"/>
      <c r="C25" s="144" t="s">
        <v>457</v>
      </c>
      <c r="D25" s="146" t="s">
        <v>461</v>
      </c>
      <c r="E25" s="148" t="s">
        <v>458</v>
      </c>
      <c r="F25" s="150">
        <v>37900</v>
      </c>
      <c r="G25" s="146"/>
      <c r="H25" s="148"/>
      <c r="I25" s="150"/>
      <c r="J25" s="151" t="s">
        <v>459</v>
      </c>
      <c r="K25" s="151" t="s">
        <v>460</v>
      </c>
      <c r="L25" s="138">
        <v>27221.1</v>
      </c>
      <c r="M25" s="138">
        <v>27220.8</v>
      </c>
      <c r="N25" s="138">
        <v>27890.5</v>
      </c>
      <c r="O25" s="140">
        <v>146957.9</v>
      </c>
      <c r="P25" s="138">
        <f>O25</f>
        <v>146957.9</v>
      </c>
      <c r="Q25" s="138">
        <v>0</v>
      </c>
      <c r="R25" s="140">
        <v>26052.6</v>
      </c>
      <c r="S25" s="138">
        <f>R25</f>
        <v>26052.6</v>
      </c>
      <c r="T25" s="138">
        <v>0</v>
      </c>
      <c r="U25" s="140">
        <v>65901.9</v>
      </c>
      <c r="V25" s="138">
        <f>U25</f>
        <v>65901.9</v>
      </c>
      <c r="W25" s="138">
        <v>0</v>
      </c>
      <c r="X25" s="55"/>
      <c r="Y25" s="50"/>
      <c r="Z25" s="50"/>
      <c r="AA25" s="50"/>
      <c r="AB25" s="50"/>
      <c r="AC25" s="50"/>
      <c r="AD25" s="50"/>
    </row>
    <row r="26" spans="1:30" ht="0.75" customHeight="1">
      <c r="A26" s="55"/>
      <c r="B26" s="41"/>
      <c r="C26" s="145"/>
      <c r="D26" s="147"/>
      <c r="E26" s="149"/>
      <c r="F26" s="149"/>
      <c r="G26" s="147"/>
      <c r="H26" s="149"/>
      <c r="I26" s="149"/>
      <c r="J26" s="152"/>
      <c r="K26" s="152"/>
      <c r="L26" s="139"/>
      <c r="M26" s="139"/>
      <c r="N26" s="139"/>
      <c r="O26" s="141"/>
      <c r="P26" s="139"/>
      <c r="Q26" s="139"/>
      <c r="R26" s="141"/>
      <c r="S26" s="139"/>
      <c r="T26" s="139"/>
      <c r="U26" s="141"/>
      <c r="V26" s="139"/>
      <c r="W26" s="139"/>
      <c r="X26" s="55"/>
      <c r="Y26" s="50"/>
      <c r="Z26" s="50"/>
      <c r="AA26" s="50"/>
      <c r="AB26" s="50"/>
      <c r="AC26" s="50"/>
      <c r="AD26" s="50"/>
    </row>
    <row r="27" spans="1:30" ht="340.5" customHeight="1">
      <c r="A27" s="55"/>
      <c r="B27" s="41"/>
      <c r="C27" s="75" t="s">
        <v>465</v>
      </c>
      <c r="D27" s="58" t="s">
        <v>210</v>
      </c>
      <c r="E27" s="86" t="s">
        <v>211</v>
      </c>
      <c r="F27" s="86" t="s">
        <v>288</v>
      </c>
      <c r="G27" s="58" t="s">
        <v>215</v>
      </c>
      <c r="H27" s="86" t="s">
        <v>216</v>
      </c>
      <c r="I27" s="86" t="s">
        <v>217</v>
      </c>
      <c r="J27" s="93" t="s">
        <v>463</v>
      </c>
      <c r="K27" s="93" t="s">
        <v>464</v>
      </c>
      <c r="L27" s="124">
        <f>483.2+68.2</f>
        <v>551.4</v>
      </c>
      <c r="M27" s="124">
        <v>456.2</v>
      </c>
      <c r="N27" s="124">
        <f>459.5+1163.6</f>
        <v>1623.1</v>
      </c>
      <c r="O27" s="132">
        <f>P27</f>
        <v>1822.8</v>
      </c>
      <c r="P27" s="124">
        <f>452+1220.8+150</f>
        <v>1822.8</v>
      </c>
      <c r="Q27" s="124"/>
      <c r="R27" s="132">
        <v>0</v>
      </c>
      <c r="S27" s="124">
        <v>0</v>
      </c>
      <c r="T27" s="124"/>
      <c r="U27" s="132">
        <v>0</v>
      </c>
      <c r="V27" s="124">
        <v>0</v>
      </c>
      <c r="W27" s="124"/>
      <c r="X27" s="55"/>
      <c r="Y27" s="50"/>
      <c r="Z27" s="50"/>
      <c r="AA27" s="50"/>
      <c r="AB27" s="50"/>
      <c r="AC27" s="50"/>
      <c r="AD27" s="50"/>
    </row>
    <row r="28" spans="1:30" ht="90.75" customHeight="1">
      <c r="A28" s="55"/>
      <c r="B28" s="41"/>
      <c r="C28" s="74" t="s">
        <v>466</v>
      </c>
      <c r="D28" s="58" t="s">
        <v>470</v>
      </c>
      <c r="E28" s="86" t="s">
        <v>467</v>
      </c>
      <c r="F28" s="86" t="s">
        <v>468</v>
      </c>
      <c r="G28" s="62"/>
      <c r="H28" s="94"/>
      <c r="I28" s="87"/>
      <c r="J28" s="85" t="s">
        <v>469</v>
      </c>
      <c r="K28" s="85" t="s">
        <v>25</v>
      </c>
      <c r="L28" s="125">
        <v>0</v>
      </c>
      <c r="M28" s="125">
        <v>0</v>
      </c>
      <c r="N28" s="137">
        <v>15084.9</v>
      </c>
      <c r="O28" s="126">
        <v>26154.8</v>
      </c>
      <c r="P28" s="125">
        <f>O28</f>
        <v>26154.8</v>
      </c>
      <c r="Q28" s="125"/>
      <c r="R28" s="126">
        <v>19184.4</v>
      </c>
      <c r="S28" s="125">
        <f>R28</f>
        <v>19184.4</v>
      </c>
      <c r="T28" s="125"/>
      <c r="U28" s="126">
        <v>19184.4</v>
      </c>
      <c r="V28" s="125">
        <f>U28</f>
        <v>19184.4</v>
      </c>
      <c r="W28" s="125"/>
      <c r="X28" s="55"/>
      <c r="Y28" s="50"/>
      <c r="Z28" s="50"/>
      <c r="AA28" s="50"/>
      <c r="AB28" s="50"/>
      <c r="AC28" s="50"/>
      <c r="AD28" s="50"/>
    </row>
    <row r="29" spans="1:30" ht="183.75" customHeight="1">
      <c r="A29" s="55"/>
      <c r="B29" s="41"/>
      <c r="C29" s="73" t="s">
        <v>230</v>
      </c>
      <c r="D29" s="58" t="s">
        <v>212</v>
      </c>
      <c r="E29" s="86" t="s">
        <v>213</v>
      </c>
      <c r="F29" s="86" t="s">
        <v>214</v>
      </c>
      <c r="G29" s="58" t="s">
        <v>444</v>
      </c>
      <c r="H29" s="87" t="s">
        <v>218</v>
      </c>
      <c r="I29" s="87" t="s">
        <v>445</v>
      </c>
      <c r="J29" s="95" t="s">
        <v>446</v>
      </c>
      <c r="K29" s="96" t="s">
        <v>447</v>
      </c>
      <c r="L29" s="125">
        <f>3025+20</f>
        <v>3045</v>
      </c>
      <c r="M29" s="125">
        <f>3024+14.7</f>
        <v>3038.7</v>
      </c>
      <c r="N29" s="125">
        <f>812.8+15</f>
        <v>827.8</v>
      </c>
      <c r="O29" s="126">
        <f>P29+Q29</f>
        <v>1172.3</v>
      </c>
      <c r="P29" s="125">
        <f>1162.3+10</f>
        <v>1172.3</v>
      </c>
      <c r="Q29" s="125"/>
      <c r="R29" s="126">
        <f>S29+T29</f>
        <v>1140.3</v>
      </c>
      <c r="S29" s="125">
        <f>1080.5-6.9+66.7</f>
        <v>1140.3</v>
      </c>
      <c r="T29" s="125"/>
      <c r="U29" s="126">
        <f>V29+W29</f>
        <v>1202</v>
      </c>
      <c r="V29" s="125">
        <f>1080.5-6.9+66.7+61.7</f>
        <v>1202</v>
      </c>
      <c r="W29" s="125"/>
      <c r="X29" s="55"/>
      <c r="Y29" s="50"/>
      <c r="Z29" s="50"/>
      <c r="AA29" s="50"/>
      <c r="AB29" s="50"/>
      <c r="AC29" s="50"/>
      <c r="AD29" s="50"/>
    </row>
    <row r="30" spans="1:30" ht="193.5" customHeight="1">
      <c r="A30" s="55"/>
      <c r="B30" s="41"/>
      <c r="C30" s="73" t="s">
        <v>300</v>
      </c>
      <c r="D30" s="58" t="s">
        <v>302</v>
      </c>
      <c r="E30" s="86" t="s">
        <v>164</v>
      </c>
      <c r="F30" s="86" t="s">
        <v>303</v>
      </c>
      <c r="G30" s="58"/>
      <c r="H30" s="87"/>
      <c r="I30" s="87"/>
      <c r="J30" s="96" t="s">
        <v>22</v>
      </c>
      <c r="K30" s="96" t="s">
        <v>301</v>
      </c>
      <c r="L30" s="125">
        <f>910-250.7</f>
        <v>659.3</v>
      </c>
      <c r="M30" s="125"/>
      <c r="N30" s="125">
        <f>27144.6+659.3+4459.6</f>
        <v>32263.5</v>
      </c>
      <c r="O30" s="126"/>
      <c r="P30" s="125"/>
      <c r="Q30" s="125"/>
      <c r="R30" s="126"/>
      <c r="S30" s="125"/>
      <c r="T30" s="125"/>
      <c r="U30" s="126"/>
      <c r="V30" s="125"/>
      <c r="W30" s="125"/>
      <c r="X30" s="55"/>
      <c r="Y30" s="50"/>
      <c r="Z30" s="50"/>
      <c r="AA30" s="50"/>
      <c r="AB30" s="50"/>
      <c r="AC30" s="50"/>
      <c r="AD30" s="50"/>
    </row>
    <row r="31" spans="1:30" ht="149.25" customHeight="1">
      <c r="A31" s="55"/>
      <c r="B31" s="41"/>
      <c r="C31" s="73" t="s">
        <v>296</v>
      </c>
      <c r="D31" s="58"/>
      <c r="E31" s="86"/>
      <c r="F31" s="86"/>
      <c r="G31" s="58" t="s">
        <v>297</v>
      </c>
      <c r="H31" s="87" t="s">
        <v>298</v>
      </c>
      <c r="I31" s="87" t="s">
        <v>299</v>
      </c>
      <c r="J31" s="96" t="s">
        <v>23</v>
      </c>
      <c r="K31" s="96" t="s">
        <v>21</v>
      </c>
      <c r="L31" s="125">
        <f>26192.1+236.8+1879.7-70+0.7</f>
        <v>28239.3</v>
      </c>
      <c r="M31" s="125">
        <v>50</v>
      </c>
      <c r="N31" s="125">
        <f>236.8+947.1+25245+73.5+110.5</f>
        <v>26612.9</v>
      </c>
      <c r="O31" s="126">
        <f>P31+Q31</f>
        <v>0</v>
      </c>
      <c r="P31" s="125"/>
      <c r="Q31" s="125"/>
      <c r="R31" s="126">
        <f>S31+T31</f>
        <v>0</v>
      </c>
      <c r="S31" s="125"/>
      <c r="T31" s="125"/>
      <c r="U31" s="126">
        <f>V31+W31</f>
        <v>0</v>
      </c>
      <c r="V31" s="125"/>
      <c r="W31" s="125"/>
      <c r="X31" s="55"/>
      <c r="Y31" s="50"/>
      <c r="Z31" s="50"/>
      <c r="AA31" s="50"/>
      <c r="AB31" s="50"/>
      <c r="AC31" s="50"/>
      <c r="AD31" s="50"/>
    </row>
    <row r="32" spans="1:30" ht="99" customHeight="1">
      <c r="A32" s="55"/>
      <c r="B32" s="41"/>
      <c r="C32" s="74" t="s">
        <v>314</v>
      </c>
      <c r="D32" s="58" t="s">
        <v>318</v>
      </c>
      <c r="E32" s="86" t="s">
        <v>164</v>
      </c>
      <c r="F32" s="91" t="s">
        <v>320</v>
      </c>
      <c r="G32" s="58" t="s">
        <v>319</v>
      </c>
      <c r="H32" s="86" t="s">
        <v>164</v>
      </c>
      <c r="I32" s="91" t="s">
        <v>321</v>
      </c>
      <c r="J32" s="97">
        <v>10</v>
      </c>
      <c r="K32" s="97" t="s">
        <v>25</v>
      </c>
      <c r="L32" s="125"/>
      <c r="M32" s="125"/>
      <c r="N32" s="125">
        <v>115</v>
      </c>
      <c r="O32" s="126"/>
      <c r="P32" s="125"/>
      <c r="Q32" s="125"/>
      <c r="R32" s="126"/>
      <c r="S32" s="125"/>
      <c r="T32" s="125"/>
      <c r="U32" s="126"/>
      <c r="V32" s="125"/>
      <c r="W32" s="125"/>
      <c r="X32" s="55"/>
      <c r="Y32" s="50"/>
      <c r="Z32" s="50"/>
      <c r="AA32" s="50"/>
      <c r="AB32" s="50"/>
      <c r="AC32" s="50"/>
      <c r="AD32" s="50"/>
    </row>
    <row r="33" spans="1:30" ht="112.5" customHeight="1">
      <c r="A33" s="55"/>
      <c r="B33" s="41"/>
      <c r="C33" s="76" t="s">
        <v>315</v>
      </c>
      <c r="D33" s="58"/>
      <c r="E33" s="86"/>
      <c r="F33" s="86"/>
      <c r="G33" s="58" t="s">
        <v>317</v>
      </c>
      <c r="H33" s="86" t="s">
        <v>298</v>
      </c>
      <c r="I33" s="98" t="s">
        <v>316</v>
      </c>
      <c r="J33" s="97" t="s">
        <v>23</v>
      </c>
      <c r="K33" s="97" t="s">
        <v>25</v>
      </c>
      <c r="L33" s="125"/>
      <c r="M33" s="125"/>
      <c r="N33" s="125">
        <v>372.7</v>
      </c>
      <c r="O33" s="126"/>
      <c r="P33" s="125"/>
      <c r="Q33" s="125"/>
      <c r="R33" s="126"/>
      <c r="S33" s="125"/>
      <c r="T33" s="125"/>
      <c r="U33" s="126"/>
      <c r="V33" s="125"/>
      <c r="W33" s="125"/>
      <c r="X33" s="55"/>
      <c r="Y33" s="50"/>
      <c r="Z33" s="50"/>
      <c r="AA33" s="50"/>
      <c r="AB33" s="50"/>
      <c r="AC33" s="50"/>
      <c r="AD33" s="50"/>
    </row>
    <row r="34" spans="1:30" ht="101.25" customHeight="1">
      <c r="A34" s="55"/>
      <c r="B34" s="42"/>
      <c r="C34" s="77" t="s">
        <v>231</v>
      </c>
      <c r="D34" s="57" t="s">
        <v>19</v>
      </c>
      <c r="E34" s="86" t="s">
        <v>19</v>
      </c>
      <c r="F34" s="86" t="s">
        <v>19</v>
      </c>
      <c r="G34" s="57" t="s">
        <v>19</v>
      </c>
      <c r="H34" s="84" t="s">
        <v>19</v>
      </c>
      <c r="I34" s="84" t="s">
        <v>19</v>
      </c>
      <c r="J34" s="85" t="s">
        <v>19</v>
      </c>
      <c r="K34" s="85" t="s">
        <v>19</v>
      </c>
      <c r="L34" s="123">
        <f>SUM(L35:L43)</f>
        <v>109463.9</v>
      </c>
      <c r="M34" s="123">
        <f aca="true" t="shared" si="4" ref="M34:V34">SUM(M35:M43)</f>
        <v>100471.4</v>
      </c>
      <c r="N34" s="123">
        <f t="shared" si="4"/>
        <v>93250.7</v>
      </c>
      <c r="O34" s="123">
        <f t="shared" si="4"/>
        <v>90764.9</v>
      </c>
      <c r="P34" s="123">
        <f t="shared" si="4"/>
        <v>90714.99999999999</v>
      </c>
      <c r="Q34" s="123">
        <f t="shared" si="4"/>
        <v>49.9</v>
      </c>
      <c r="R34" s="123">
        <f t="shared" si="4"/>
        <v>79557.29999999999</v>
      </c>
      <c r="S34" s="123">
        <f t="shared" si="4"/>
        <v>79557.29999999999</v>
      </c>
      <c r="T34" s="123">
        <f t="shared" si="4"/>
        <v>0</v>
      </c>
      <c r="U34" s="123">
        <f t="shared" si="4"/>
        <v>79545.49999999999</v>
      </c>
      <c r="V34" s="123">
        <f t="shared" si="4"/>
        <v>79545.49999999999</v>
      </c>
      <c r="W34" s="123">
        <f>SUM(W35:W46)</f>
        <v>0</v>
      </c>
      <c r="X34" s="55"/>
      <c r="Y34" s="50"/>
      <c r="Z34" s="50"/>
      <c r="AA34" s="50"/>
      <c r="AB34" s="50"/>
      <c r="AC34" s="50"/>
      <c r="AD34" s="50"/>
    </row>
    <row r="35" spans="1:30" ht="134.25" customHeight="1">
      <c r="A35" s="55"/>
      <c r="B35" s="41"/>
      <c r="C35" s="73" t="s">
        <v>232</v>
      </c>
      <c r="D35" s="58" t="s">
        <v>40</v>
      </c>
      <c r="E35" s="86" t="s">
        <v>41</v>
      </c>
      <c r="F35" s="86" t="s">
        <v>287</v>
      </c>
      <c r="G35" s="58" t="s">
        <v>42</v>
      </c>
      <c r="H35" s="86" t="s">
        <v>43</v>
      </c>
      <c r="I35" s="86" t="s">
        <v>44</v>
      </c>
      <c r="J35" s="85" t="s">
        <v>471</v>
      </c>
      <c r="K35" s="85" t="s">
        <v>472</v>
      </c>
      <c r="L35" s="125">
        <f>30203.8+1960.4+97.9+810.9+835.8</f>
        <v>33908.8</v>
      </c>
      <c r="M35" s="125">
        <f>28180.9+1957.5+30.2+693.3+670.8</f>
        <v>31532.7</v>
      </c>
      <c r="N35" s="125">
        <f>31865.9+2453.8+23.2+1183.9+1982</f>
        <v>37508.8</v>
      </c>
      <c r="O35" s="126">
        <f>P35+Q35</f>
        <v>37817.4</v>
      </c>
      <c r="P35" s="125">
        <f>32698.3+2387.1+23.1+1162+386.9+1147.4</f>
        <v>37804.8</v>
      </c>
      <c r="Q35" s="125">
        <f>7.5+5.1</f>
        <v>12.6</v>
      </c>
      <c r="R35" s="126">
        <f>S35+T35</f>
        <v>28190.699999999997</v>
      </c>
      <c r="S35" s="125">
        <f>23458.5+2387.1+23.1+1169.5+1152.5</f>
        <v>28190.699999999997</v>
      </c>
      <c r="T35" s="125"/>
      <c r="U35" s="126">
        <f>V35+W35</f>
        <v>28233.5</v>
      </c>
      <c r="V35" s="125">
        <f>23501+2387.4+23.1+1169.5+1152.5</f>
        <v>28233.5</v>
      </c>
      <c r="W35" s="125"/>
      <c r="X35" s="55"/>
      <c r="Y35" s="50"/>
      <c r="Z35" s="50"/>
      <c r="AA35" s="50"/>
      <c r="AB35" s="50"/>
      <c r="AC35" s="50"/>
      <c r="AD35" s="50"/>
    </row>
    <row r="36" spans="1:30" ht="1.5" customHeight="1">
      <c r="A36" s="55"/>
      <c r="B36" s="41"/>
      <c r="C36" s="73" t="s">
        <v>233</v>
      </c>
      <c r="D36" s="60" t="s">
        <v>219</v>
      </c>
      <c r="E36" s="101" t="s">
        <v>220</v>
      </c>
      <c r="F36" s="101" t="s">
        <v>221</v>
      </c>
      <c r="G36" s="57"/>
      <c r="H36" s="84"/>
      <c r="I36" s="84"/>
      <c r="J36" s="85"/>
      <c r="K36" s="85"/>
      <c r="L36" s="125"/>
      <c r="M36" s="125"/>
      <c r="N36" s="125"/>
      <c r="O36" s="123"/>
      <c r="P36" s="125"/>
      <c r="Q36" s="125"/>
      <c r="R36" s="123"/>
      <c r="S36" s="125"/>
      <c r="T36" s="125"/>
      <c r="U36" s="123"/>
      <c r="V36" s="125"/>
      <c r="W36" s="125"/>
      <c r="X36" s="55"/>
      <c r="Y36" s="50"/>
      <c r="Z36" s="50"/>
      <c r="AA36" s="50"/>
      <c r="AB36" s="50"/>
      <c r="AC36" s="50"/>
      <c r="AD36" s="50"/>
    </row>
    <row r="37" spans="1:30" ht="143.25" customHeight="1">
      <c r="A37" s="55"/>
      <c r="B37" s="41"/>
      <c r="C37" s="73" t="s">
        <v>234</v>
      </c>
      <c r="D37" s="58" t="s">
        <v>50</v>
      </c>
      <c r="E37" s="86" t="s">
        <v>51</v>
      </c>
      <c r="F37" s="86" t="s">
        <v>284</v>
      </c>
      <c r="G37" s="57" t="s">
        <v>194</v>
      </c>
      <c r="H37" s="84" t="s">
        <v>195</v>
      </c>
      <c r="I37" s="92" t="s">
        <v>196</v>
      </c>
      <c r="J37" s="85" t="s">
        <v>410</v>
      </c>
      <c r="K37" s="85" t="s">
        <v>411</v>
      </c>
      <c r="L37" s="125">
        <f>31187.1+18390.7+2088.4+12638.3</f>
        <v>64304.5</v>
      </c>
      <c r="M37" s="125">
        <f>30737.2+18349.5+2088.4+12439.6</f>
        <v>63614.7</v>
      </c>
      <c r="N37" s="125">
        <f>15038.1+21481.5+2220+14198.9</f>
        <v>52938.5</v>
      </c>
      <c r="O37" s="126">
        <f>P37+Q37</f>
        <v>50671.9</v>
      </c>
      <c r="P37" s="125">
        <f>13155.9+21382.7+2180.5+13915.5</f>
        <v>50634.6</v>
      </c>
      <c r="Q37" s="125">
        <f>37.3</f>
        <v>37.3</v>
      </c>
      <c r="R37" s="126">
        <f>S37+T37</f>
        <v>49502.2</v>
      </c>
      <c r="S37" s="125">
        <f>12885.9+20903.7+2101.6+13611</f>
        <v>49502.2</v>
      </c>
      <c r="T37" s="125"/>
      <c r="U37" s="126">
        <f>V37+W37</f>
        <v>49466.2</v>
      </c>
      <c r="V37" s="125">
        <f>12849.9+20903.7+2101.6+13611</f>
        <v>49466.2</v>
      </c>
      <c r="W37" s="125"/>
      <c r="X37" s="55"/>
      <c r="Y37" s="50"/>
      <c r="Z37" s="50"/>
      <c r="AA37" s="50"/>
      <c r="AB37" s="50"/>
      <c r="AC37" s="50"/>
      <c r="AD37" s="50"/>
    </row>
    <row r="38" spans="1:30" ht="43.5" customHeight="1">
      <c r="A38" s="55"/>
      <c r="B38" s="41"/>
      <c r="C38" s="73" t="s">
        <v>269</v>
      </c>
      <c r="D38" s="58" t="s">
        <v>271</v>
      </c>
      <c r="E38" s="86" t="s">
        <v>164</v>
      </c>
      <c r="F38" s="91" t="s">
        <v>272</v>
      </c>
      <c r="G38" s="57"/>
      <c r="H38" s="84"/>
      <c r="I38" s="92"/>
      <c r="J38" s="85" t="s">
        <v>23</v>
      </c>
      <c r="K38" s="85" t="s">
        <v>108</v>
      </c>
      <c r="L38" s="125">
        <f>2172.6+816.1-300</f>
        <v>2688.7</v>
      </c>
      <c r="M38" s="125">
        <v>353.3</v>
      </c>
      <c r="N38" s="125"/>
      <c r="O38" s="126"/>
      <c r="P38" s="125"/>
      <c r="Q38" s="125"/>
      <c r="R38" s="126"/>
      <c r="S38" s="125"/>
      <c r="T38" s="125"/>
      <c r="U38" s="126"/>
      <c r="V38" s="125"/>
      <c r="W38" s="125"/>
      <c r="X38" s="55"/>
      <c r="Y38" s="50"/>
      <c r="Z38" s="50"/>
      <c r="AA38" s="50"/>
      <c r="AB38" s="50"/>
      <c r="AC38" s="50"/>
      <c r="AD38" s="50"/>
    </row>
    <row r="39" spans="1:30" ht="47.25" customHeight="1">
      <c r="A39" s="55"/>
      <c r="B39" s="41"/>
      <c r="C39" s="73" t="s">
        <v>270</v>
      </c>
      <c r="D39" s="58" t="s">
        <v>273</v>
      </c>
      <c r="E39" s="86" t="s">
        <v>164</v>
      </c>
      <c r="F39" s="91" t="s">
        <v>274</v>
      </c>
      <c r="G39" s="57"/>
      <c r="H39" s="84"/>
      <c r="I39" s="92"/>
      <c r="J39" s="85" t="s">
        <v>23</v>
      </c>
      <c r="K39" s="85" t="s">
        <v>108</v>
      </c>
      <c r="L39" s="125">
        <f>3591.2+2600</f>
        <v>6191.2</v>
      </c>
      <c r="M39" s="125">
        <v>2600</v>
      </c>
      <c r="N39" s="125">
        <v>232.4</v>
      </c>
      <c r="O39" s="126">
        <f>P39+Q39</f>
        <v>0</v>
      </c>
      <c r="P39" s="125"/>
      <c r="Q39" s="125"/>
      <c r="R39" s="126">
        <f>S39+T39</f>
        <v>0</v>
      </c>
      <c r="S39" s="125"/>
      <c r="T39" s="125"/>
      <c r="U39" s="126">
        <f>V39+W39</f>
        <v>0</v>
      </c>
      <c r="V39" s="125"/>
      <c r="W39" s="125"/>
      <c r="X39" s="55"/>
      <c r="Y39" s="50"/>
      <c r="Z39" s="50"/>
      <c r="AA39" s="50"/>
      <c r="AB39" s="50"/>
      <c r="AC39" s="50"/>
      <c r="AD39" s="50"/>
    </row>
    <row r="40" spans="1:30" ht="126.75" customHeight="1">
      <c r="A40" s="55"/>
      <c r="B40" s="41"/>
      <c r="C40" s="73" t="s">
        <v>323</v>
      </c>
      <c r="D40" s="58" t="s">
        <v>324</v>
      </c>
      <c r="E40" s="86" t="s">
        <v>164</v>
      </c>
      <c r="F40" s="91" t="s">
        <v>325</v>
      </c>
      <c r="G40" s="57"/>
      <c r="H40" s="84"/>
      <c r="I40" s="92"/>
      <c r="J40" s="85" t="s">
        <v>21</v>
      </c>
      <c r="K40" s="85" t="s">
        <v>322</v>
      </c>
      <c r="L40" s="125"/>
      <c r="M40" s="125"/>
      <c r="N40" s="125">
        <v>108</v>
      </c>
      <c r="O40" s="126"/>
      <c r="P40" s="125"/>
      <c r="Q40" s="125"/>
      <c r="R40" s="126"/>
      <c r="S40" s="125"/>
      <c r="T40" s="125"/>
      <c r="U40" s="126"/>
      <c r="V40" s="125"/>
      <c r="W40" s="125"/>
      <c r="X40" s="55"/>
      <c r="Y40" s="50"/>
      <c r="Z40" s="50"/>
      <c r="AA40" s="50"/>
      <c r="AB40" s="50"/>
      <c r="AC40" s="50"/>
      <c r="AD40" s="50"/>
    </row>
    <row r="41" spans="1:30" ht="123.75" customHeight="1">
      <c r="A41" s="55"/>
      <c r="B41" s="41"/>
      <c r="C41" s="73" t="s">
        <v>235</v>
      </c>
      <c r="D41" s="58" t="s">
        <v>33</v>
      </c>
      <c r="E41" s="86" t="s">
        <v>143</v>
      </c>
      <c r="F41" s="86" t="s">
        <v>285</v>
      </c>
      <c r="G41" s="57" t="s">
        <v>197</v>
      </c>
      <c r="H41" s="84" t="s">
        <v>198</v>
      </c>
      <c r="I41" s="92" t="s">
        <v>199</v>
      </c>
      <c r="J41" s="85" t="s">
        <v>263</v>
      </c>
      <c r="K41" s="85" t="s">
        <v>262</v>
      </c>
      <c r="L41" s="125"/>
      <c r="M41" s="125">
        <f>16401-2030.4-41-14329.6</f>
        <v>0</v>
      </c>
      <c r="N41" s="125"/>
      <c r="O41" s="126">
        <f>P41+Q41</f>
        <v>0</v>
      </c>
      <c r="P41" s="125"/>
      <c r="Q41" s="125"/>
      <c r="R41" s="126">
        <f>S41+T41</f>
        <v>0</v>
      </c>
      <c r="S41" s="125"/>
      <c r="T41" s="125"/>
      <c r="U41" s="126">
        <f>V41+W41</f>
        <v>0</v>
      </c>
      <c r="V41" s="125"/>
      <c r="W41" s="125"/>
      <c r="X41" s="55"/>
      <c r="Y41" s="50"/>
      <c r="Z41" s="50"/>
      <c r="AA41" s="50"/>
      <c r="AB41" s="50"/>
      <c r="AC41" s="50"/>
      <c r="AD41" s="50"/>
    </row>
    <row r="42" spans="1:30" ht="137.25" customHeight="1">
      <c r="A42" s="55"/>
      <c r="B42" s="41"/>
      <c r="C42" s="73" t="s">
        <v>236</v>
      </c>
      <c r="D42" s="58" t="s">
        <v>179</v>
      </c>
      <c r="E42" s="86" t="s">
        <v>180</v>
      </c>
      <c r="F42" s="86" t="s">
        <v>286</v>
      </c>
      <c r="G42" s="58" t="s">
        <v>181</v>
      </c>
      <c r="H42" s="86" t="s">
        <v>182</v>
      </c>
      <c r="I42" s="86" t="s">
        <v>183</v>
      </c>
      <c r="J42" s="85" t="s">
        <v>142</v>
      </c>
      <c r="K42" s="85" t="s">
        <v>108</v>
      </c>
      <c r="L42" s="125">
        <f>2111.9-4</f>
        <v>2107.9</v>
      </c>
      <c r="M42" s="125">
        <v>2107.9</v>
      </c>
      <c r="N42" s="125">
        <f>2204.4+151.2-0.1</f>
        <v>2355.5</v>
      </c>
      <c r="O42" s="126">
        <f>P42+Q42</f>
        <v>2202.4</v>
      </c>
      <c r="P42" s="125">
        <f>1811.5+390.9</f>
        <v>2202.4</v>
      </c>
      <c r="Q42" s="125"/>
      <c r="R42" s="126">
        <f>S42+T42</f>
        <v>1752.4</v>
      </c>
      <c r="S42" s="125">
        <f>1871-118.6</f>
        <v>1752.4</v>
      </c>
      <c r="T42" s="125"/>
      <c r="U42" s="126">
        <f>V42+W42</f>
        <v>1752.4</v>
      </c>
      <c r="V42" s="125">
        <f>1871-118.6</f>
        <v>1752.4</v>
      </c>
      <c r="W42" s="125"/>
      <c r="X42" s="55"/>
      <c r="Y42" s="50"/>
      <c r="Z42" s="50"/>
      <c r="AA42" s="50"/>
      <c r="AB42" s="50"/>
      <c r="AC42" s="50"/>
      <c r="AD42" s="50"/>
    </row>
    <row r="43" spans="1:30" ht="172.5" customHeight="1">
      <c r="A43" s="55"/>
      <c r="B43" s="41"/>
      <c r="C43" s="73" t="s">
        <v>237</v>
      </c>
      <c r="D43" s="58" t="s">
        <v>30</v>
      </c>
      <c r="E43" s="86" t="s">
        <v>191</v>
      </c>
      <c r="F43" s="86" t="s">
        <v>287</v>
      </c>
      <c r="G43" s="59" t="s">
        <v>31</v>
      </c>
      <c r="H43" s="87" t="s">
        <v>192</v>
      </c>
      <c r="I43" s="87" t="s">
        <v>32</v>
      </c>
      <c r="J43" s="85" t="s">
        <v>448</v>
      </c>
      <c r="K43" s="85" t="s">
        <v>449</v>
      </c>
      <c r="L43" s="125">
        <f>74.7+175.6+12.5</f>
        <v>262.8</v>
      </c>
      <c r="M43" s="125">
        <f>74.7+175.6+12.5</f>
        <v>262.8</v>
      </c>
      <c r="N43" s="125">
        <f>75.5+32</f>
        <v>107.5</v>
      </c>
      <c r="O43" s="126">
        <f>P43+Q43</f>
        <v>73.2</v>
      </c>
      <c r="P43" s="125">
        <f>70.7+2.5</f>
        <v>73.2</v>
      </c>
      <c r="Q43" s="125"/>
      <c r="R43" s="126">
        <f>S43+T43</f>
        <v>112</v>
      </c>
      <c r="S43" s="125">
        <f>102+10</f>
        <v>112</v>
      </c>
      <c r="T43" s="125"/>
      <c r="U43" s="126">
        <f>V43+W43</f>
        <v>93.4</v>
      </c>
      <c r="V43" s="125">
        <f>83.4+10</f>
        <v>93.4</v>
      </c>
      <c r="W43" s="125"/>
      <c r="X43" s="55"/>
      <c r="Y43" s="50"/>
      <c r="Z43" s="50"/>
      <c r="AA43" s="50"/>
      <c r="AB43" s="50"/>
      <c r="AC43" s="50"/>
      <c r="AD43" s="50"/>
    </row>
    <row r="44" spans="1:30" ht="12.75">
      <c r="A44" s="55"/>
      <c r="B44" s="41"/>
      <c r="C44" s="73" t="s">
        <v>7</v>
      </c>
      <c r="D44" s="60"/>
      <c r="E44" s="101"/>
      <c r="F44" s="101"/>
      <c r="G44" s="57"/>
      <c r="H44" s="84"/>
      <c r="I44" s="84"/>
      <c r="J44" s="85"/>
      <c r="K44" s="85"/>
      <c r="L44" s="125"/>
      <c r="M44" s="125"/>
      <c r="N44" s="125"/>
      <c r="O44" s="123"/>
      <c r="P44" s="125"/>
      <c r="Q44" s="125"/>
      <c r="R44" s="123"/>
      <c r="S44" s="125"/>
      <c r="T44" s="125"/>
      <c r="U44" s="123"/>
      <c r="V44" s="125"/>
      <c r="W44" s="125"/>
      <c r="X44" s="55"/>
      <c r="Y44" s="50"/>
      <c r="Z44" s="50"/>
      <c r="AA44" s="50"/>
      <c r="AB44" s="50"/>
      <c r="AC44" s="50"/>
      <c r="AD44" s="50"/>
    </row>
    <row r="45" spans="1:30" ht="12.75">
      <c r="A45" s="55"/>
      <c r="B45" s="41"/>
      <c r="C45" s="73" t="s">
        <v>7</v>
      </c>
      <c r="D45" s="60"/>
      <c r="E45" s="101"/>
      <c r="F45" s="101"/>
      <c r="G45" s="57"/>
      <c r="H45" s="84"/>
      <c r="I45" s="84"/>
      <c r="J45" s="85"/>
      <c r="K45" s="85"/>
      <c r="L45" s="125"/>
      <c r="M45" s="125"/>
      <c r="N45" s="125"/>
      <c r="O45" s="123"/>
      <c r="P45" s="125"/>
      <c r="Q45" s="125"/>
      <c r="R45" s="123"/>
      <c r="S45" s="125"/>
      <c r="T45" s="125"/>
      <c r="U45" s="123"/>
      <c r="V45" s="125"/>
      <c r="W45" s="125"/>
      <c r="X45" s="55"/>
      <c r="Y45" s="50"/>
      <c r="Z45" s="50"/>
      <c r="AA45" s="50"/>
      <c r="AB45" s="50"/>
      <c r="AC45" s="50"/>
      <c r="AD45" s="50"/>
    </row>
    <row r="46" spans="1:30" ht="12.75">
      <c r="A46" s="55"/>
      <c r="B46" s="41"/>
      <c r="C46" s="73" t="s">
        <v>7</v>
      </c>
      <c r="D46" s="60"/>
      <c r="E46" s="101"/>
      <c r="F46" s="101"/>
      <c r="G46" s="57"/>
      <c r="H46" s="84"/>
      <c r="I46" s="84"/>
      <c r="J46" s="85"/>
      <c r="K46" s="85"/>
      <c r="L46" s="125"/>
      <c r="M46" s="125"/>
      <c r="N46" s="125"/>
      <c r="O46" s="123"/>
      <c r="P46" s="125"/>
      <c r="Q46" s="125"/>
      <c r="R46" s="123"/>
      <c r="S46" s="125"/>
      <c r="T46" s="125"/>
      <c r="U46" s="123"/>
      <c r="V46" s="125"/>
      <c r="W46" s="125"/>
      <c r="X46" s="55"/>
      <c r="Y46" s="50"/>
      <c r="Z46" s="50"/>
      <c r="AA46" s="50"/>
      <c r="AB46" s="50"/>
      <c r="AC46" s="50"/>
      <c r="AD46" s="50"/>
    </row>
    <row r="47" spans="1:30" ht="132" customHeight="1">
      <c r="A47" s="55"/>
      <c r="B47" s="164"/>
      <c r="C47" s="170" t="s">
        <v>238</v>
      </c>
      <c r="D47" s="146" t="s">
        <v>19</v>
      </c>
      <c r="E47" s="148" t="s">
        <v>19</v>
      </c>
      <c r="F47" s="148" t="s">
        <v>19</v>
      </c>
      <c r="G47" s="146" t="s">
        <v>19</v>
      </c>
      <c r="H47" s="168" t="s">
        <v>19</v>
      </c>
      <c r="I47" s="168" t="s">
        <v>19</v>
      </c>
      <c r="J47" s="151" t="s">
        <v>19</v>
      </c>
      <c r="K47" s="151" t="s">
        <v>19</v>
      </c>
      <c r="L47" s="140">
        <f>L49</f>
        <v>138215.30000000002</v>
      </c>
      <c r="M47" s="140">
        <f>M49</f>
        <v>137831.10000000006</v>
      </c>
      <c r="N47" s="140">
        <f>N49</f>
        <v>129013.19999999998</v>
      </c>
      <c r="O47" s="140">
        <f>P47+Q47</f>
        <v>146603.5</v>
      </c>
      <c r="P47" s="140">
        <f>P49</f>
        <v>146603.5</v>
      </c>
      <c r="Q47" s="140">
        <f>Q49</f>
        <v>0</v>
      </c>
      <c r="R47" s="140">
        <f>S47+T47</f>
        <v>145240.29999999996</v>
      </c>
      <c r="S47" s="140">
        <f>S49</f>
        <v>145240.29999999996</v>
      </c>
      <c r="T47" s="140">
        <f>T49</f>
        <v>0</v>
      </c>
      <c r="U47" s="140">
        <f>V47+W47</f>
        <v>145404.09999999998</v>
      </c>
      <c r="V47" s="140">
        <f>V49</f>
        <v>145404.09999999998</v>
      </c>
      <c r="W47" s="140">
        <f>W49</f>
        <v>0</v>
      </c>
      <c r="X47" s="63"/>
      <c r="Y47" s="50"/>
      <c r="Z47" s="50"/>
      <c r="AA47" s="50"/>
      <c r="AB47" s="50"/>
      <c r="AC47" s="50"/>
      <c r="AD47" s="50"/>
    </row>
    <row r="48" spans="1:30" ht="12.75" hidden="1">
      <c r="A48" s="55"/>
      <c r="B48" s="164"/>
      <c r="C48" s="171"/>
      <c r="D48" s="165"/>
      <c r="E48" s="166"/>
      <c r="F48" s="166"/>
      <c r="G48" s="165"/>
      <c r="H48" s="169"/>
      <c r="I48" s="169"/>
      <c r="J48" s="167"/>
      <c r="K48" s="167"/>
      <c r="L48" s="141"/>
      <c r="M48" s="155"/>
      <c r="N48" s="155"/>
      <c r="O48" s="141"/>
      <c r="P48" s="155"/>
      <c r="Q48" s="155"/>
      <c r="R48" s="141"/>
      <c r="S48" s="155"/>
      <c r="T48" s="155"/>
      <c r="U48" s="141"/>
      <c r="V48" s="155"/>
      <c r="W48" s="155"/>
      <c r="X48" s="63"/>
      <c r="Y48" s="50"/>
      <c r="Z48" s="50"/>
      <c r="AA48" s="50"/>
      <c r="AB48" s="50"/>
      <c r="AC48" s="50"/>
      <c r="AD48" s="50"/>
    </row>
    <row r="49" spans="1:30" ht="57" customHeight="1">
      <c r="A49" s="55"/>
      <c r="B49" s="41"/>
      <c r="C49" s="72" t="s">
        <v>283</v>
      </c>
      <c r="D49" s="57" t="s">
        <v>19</v>
      </c>
      <c r="E49" s="86" t="s">
        <v>19</v>
      </c>
      <c r="F49" s="86" t="s">
        <v>19</v>
      </c>
      <c r="G49" s="57" t="s">
        <v>19</v>
      </c>
      <c r="H49" s="84" t="s">
        <v>19</v>
      </c>
      <c r="I49" s="84" t="s">
        <v>19</v>
      </c>
      <c r="J49" s="85" t="s">
        <v>19</v>
      </c>
      <c r="K49" s="85" t="s">
        <v>19</v>
      </c>
      <c r="L49" s="125">
        <f>SUM(L51:L84)</f>
        <v>138215.30000000002</v>
      </c>
      <c r="M49" s="125">
        <f aca="true" t="shared" si="5" ref="M49:V49">SUM(M51:M84)</f>
        <v>137831.10000000006</v>
      </c>
      <c r="N49" s="125">
        <f t="shared" si="5"/>
        <v>129013.19999999998</v>
      </c>
      <c r="O49" s="123">
        <f t="shared" si="5"/>
        <v>146603.5</v>
      </c>
      <c r="P49" s="125">
        <f t="shared" si="5"/>
        <v>146603.5</v>
      </c>
      <c r="Q49" s="125">
        <f t="shared" si="5"/>
        <v>0</v>
      </c>
      <c r="R49" s="123">
        <f t="shared" si="5"/>
        <v>145240.29999999996</v>
      </c>
      <c r="S49" s="125">
        <f t="shared" si="5"/>
        <v>145240.29999999996</v>
      </c>
      <c r="T49" s="125">
        <f t="shared" si="5"/>
        <v>0</v>
      </c>
      <c r="U49" s="123">
        <f t="shared" si="5"/>
        <v>145404.09999999998</v>
      </c>
      <c r="V49" s="125">
        <f t="shared" si="5"/>
        <v>145404.09999999998</v>
      </c>
      <c r="W49" s="125">
        <f>SUM(W52:W74)</f>
        <v>0</v>
      </c>
      <c r="X49" s="63"/>
      <c r="Y49" s="50"/>
      <c r="Z49" s="50"/>
      <c r="AA49" s="50"/>
      <c r="AB49" s="50"/>
      <c r="AC49" s="50"/>
      <c r="AD49" s="50"/>
    </row>
    <row r="50" spans="1:30" ht="18.75" customHeight="1">
      <c r="A50" s="55"/>
      <c r="B50" s="41"/>
      <c r="C50" s="73" t="s">
        <v>223</v>
      </c>
      <c r="D50" s="57"/>
      <c r="E50" s="86"/>
      <c r="F50" s="86"/>
      <c r="G50" s="57"/>
      <c r="H50" s="84"/>
      <c r="I50" s="84"/>
      <c r="J50" s="85"/>
      <c r="K50" s="85"/>
      <c r="L50" s="125"/>
      <c r="M50" s="125"/>
      <c r="N50" s="125"/>
      <c r="O50" s="126"/>
      <c r="P50" s="125"/>
      <c r="Q50" s="125"/>
      <c r="R50" s="126"/>
      <c r="S50" s="125"/>
      <c r="T50" s="125"/>
      <c r="U50" s="126"/>
      <c r="V50" s="125"/>
      <c r="W50" s="125"/>
      <c r="X50" s="63"/>
      <c r="Y50" s="50"/>
      <c r="Z50" s="50"/>
      <c r="AA50" s="50"/>
      <c r="AB50" s="50"/>
      <c r="AC50" s="50"/>
      <c r="AD50" s="50"/>
    </row>
    <row r="51" spans="1:30" ht="351.75" customHeight="1">
      <c r="A51" s="55"/>
      <c r="B51" s="41"/>
      <c r="C51" s="73" t="s">
        <v>412</v>
      </c>
      <c r="D51" s="58" t="s">
        <v>203</v>
      </c>
      <c r="E51" s="86" t="s">
        <v>204</v>
      </c>
      <c r="F51" s="86" t="s">
        <v>205</v>
      </c>
      <c r="G51" s="58" t="s">
        <v>206</v>
      </c>
      <c r="H51" s="99" t="s">
        <v>413</v>
      </c>
      <c r="I51" s="86" t="s">
        <v>208</v>
      </c>
      <c r="J51" s="88" t="s">
        <v>209</v>
      </c>
      <c r="K51" s="88" t="s">
        <v>21</v>
      </c>
      <c r="L51" s="127">
        <v>32603.1</v>
      </c>
      <c r="M51" s="124">
        <v>32552.9</v>
      </c>
      <c r="N51" s="124">
        <v>34219.1</v>
      </c>
      <c r="O51" s="132">
        <v>33042.5</v>
      </c>
      <c r="P51" s="124">
        <v>33042.5</v>
      </c>
      <c r="Q51" s="124">
        <v>0</v>
      </c>
      <c r="R51" s="132">
        <v>33042.5</v>
      </c>
      <c r="S51" s="124">
        <v>33042.5</v>
      </c>
      <c r="T51" s="124">
        <v>0</v>
      </c>
      <c r="U51" s="132">
        <v>33042.5</v>
      </c>
      <c r="V51" s="124">
        <v>33042.5</v>
      </c>
      <c r="W51" s="124">
        <v>0</v>
      </c>
      <c r="X51" s="63"/>
      <c r="Y51" s="50"/>
      <c r="Z51" s="50"/>
      <c r="AA51" s="50"/>
      <c r="AB51" s="50"/>
      <c r="AC51" s="50"/>
      <c r="AD51" s="50"/>
    </row>
    <row r="52" spans="1:30" ht="206.25" customHeight="1">
      <c r="A52" s="55"/>
      <c r="B52" s="41"/>
      <c r="C52" s="73" t="s">
        <v>239</v>
      </c>
      <c r="D52" s="58" t="s">
        <v>34</v>
      </c>
      <c r="E52" s="86" t="s">
        <v>35</v>
      </c>
      <c r="F52" s="86" t="s">
        <v>36</v>
      </c>
      <c r="G52" s="58" t="s">
        <v>37</v>
      </c>
      <c r="H52" s="99" t="s">
        <v>38</v>
      </c>
      <c r="I52" s="86" t="s">
        <v>39</v>
      </c>
      <c r="J52" s="88" t="s">
        <v>21</v>
      </c>
      <c r="K52" s="88" t="s">
        <v>22</v>
      </c>
      <c r="L52" s="125">
        <f>454.4+4.3</f>
        <v>458.7</v>
      </c>
      <c r="M52" s="125">
        <v>458.7</v>
      </c>
      <c r="N52" s="125">
        <f>472+1.5</f>
        <v>473.5</v>
      </c>
      <c r="O52" s="126">
        <f>P52+Q52</f>
        <v>469.7</v>
      </c>
      <c r="P52" s="125">
        <f>472-2.3</f>
        <v>469.7</v>
      </c>
      <c r="Q52" s="125"/>
      <c r="R52" s="126">
        <f>S52+T52</f>
        <v>469.7</v>
      </c>
      <c r="S52" s="125">
        <f>472-2.3</f>
        <v>469.7</v>
      </c>
      <c r="T52" s="125"/>
      <c r="U52" s="126">
        <f>V52+W52</f>
        <v>469.7</v>
      </c>
      <c r="V52" s="125">
        <f>472-2.3</f>
        <v>469.7</v>
      </c>
      <c r="W52" s="125"/>
      <c r="X52" s="63"/>
      <c r="Y52" s="50"/>
      <c r="Z52" s="50"/>
      <c r="AA52" s="50"/>
      <c r="AB52" s="50"/>
      <c r="AC52" s="50"/>
      <c r="AD52" s="50"/>
    </row>
    <row r="53" spans="1:30" ht="0.75" customHeight="1">
      <c r="A53" s="55"/>
      <c r="B53" s="41"/>
      <c r="C53" s="73" t="s">
        <v>240</v>
      </c>
      <c r="D53" s="58" t="s">
        <v>203</v>
      </c>
      <c r="E53" s="86" t="s">
        <v>204</v>
      </c>
      <c r="F53" s="86" t="s">
        <v>205</v>
      </c>
      <c r="G53" s="58" t="s">
        <v>206</v>
      </c>
      <c r="H53" s="99" t="s">
        <v>207</v>
      </c>
      <c r="I53" s="86" t="s">
        <v>208</v>
      </c>
      <c r="J53" s="88" t="s">
        <v>209</v>
      </c>
      <c r="K53" s="88" t="s">
        <v>108</v>
      </c>
      <c r="L53" s="125"/>
      <c r="M53" s="125"/>
      <c r="N53" s="125"/>
      <c r="O53" s="123"/>
      <c r="P53" s="125"/>
      <c r="Q53" s="125"/>
      <c r="R53" s="123"/>
      <c r="S53" s="125"/>
      <c r="T53" s="125"/>
      <c r="U53" s="123"/>
      <c r="V53" s="125"/>
      <c r="W53" s="125"/>
      <c r="X53" s="63"/>
      <c r="Y53" s="50"/>
      <c r="Z53" s="50"/>
      <c r="AA53" s="50"/>
      <c r="AB53" s="50"/>
      <c r="AC53" s="50"/>
      <c r="AD53" s="50"/>
    </row>
    <row r="54" spans="1:30" ht="126.75" customHeight="1">
      <c r="A54" s="55"/>
      <c r="B54" s="41"/>
      <c r="C54" s="72" t="s">
        <v>334</v>
      </c>
      <c r="D54" s="41"/>
      <c r="E54" s="112"/>
      <c r="F54" s="112"/>
      <c r="G54" s="41" t="s">
        <v>335</v>
      </c>
      <c r="H54" s="100" t="s">
        <v>336</v>
      </c>
      <c r="I54" s="100" t="s">
        <v>337</v>
      </c>
      <c r="J54" s="93" t="s">
        <v>22</v>
      </c>
      <c r="K54" s="93" t="s">
        <v>23</v>
      </c>
      <c r="L54" s="130">
        <v>5096.6</v>
      </c>
      <c r="M54" s="130">
        <v>5096.6</v>
      </c>
      <c r="N54" s="130">
        <v>4695.5</v>
      </c>
      <c r="O54" s="133">
        <v>4208.5</v>
      </c>
      <c r="P54" s="130">
        <v>4208.5</v>
      </c>
      <c r="Q54" s="130"/>
      <c r="R54" s="133">
        <v>4208.5</v>
      </c>
      <c r="S54" s="130">
        <v>4208.5</v>
      </c>
      <c r="T54" s="130"/>
      <c r="U54" s="133">
        <v>4208.5</v>
      </c>
      <c r="V54" s="130">
        <v>4208.5</v>
      </c>
      <c r="W54" s="130"/>
      <c r="X54" s="63"/>
      <c r="Y54" s="50"/>
      <c r="Z54" s="50"/>
      <c r="AA54" s="50"/>
      <c r="AB54" s="50"/>
      <c r="AC54" s="50"/>
      <c r="AD54" s="50"/>
    </row>
    <row r="55" spans="1:30" ht="125.25" customHeight="1">
      <c r="A55" s="55"/>
      <c r="B55" s="41"/>
      <c r="C55" s="73" t="s">
        <v>414</v>
      </c>
      <c r="D55" s="58" t="s">
        <v>33</v>
      </c>
      <c r="E55" s="86" t="s">
        <v>415</v>
      </c>
      <c r="F55" s="86" t="s">
        <v>285</v>
      </c>
      <c r="G55" s="58" t="s">
        <v>416</v>
      </c>
      <c r="H55" s="99" t="s">
        <v>417</v>
      </c>
      <c r="I55" s="86" t="s">
        <v>418</v>
      </c>
      <c r="J55" s="88" t="s">
        <v>209</v>
      </c>
      <c r="K55" s="88" t="s">
        <v>301</v>
      </c>
      <c r="L55" s="127">
        <v>517.2</v>
      </c>
      <c r="M55" s="124">
        <v>497.3</v>
      </c>
      <c r="N55" s="124">
        <v>539</v>
      </c>
      <c r="O55" s="132">
        <v>513.5</v>
      </c>
      <c r="P55" s="124">
        <v>513.5</v>
      </c>
      <c r="Q55" s="124">
        <v>0</v>
      </c>
      <c r="R55" s="132">
        <v>513.5</v>
      </c>
      <c r="S55" s="124">
        <v>513.5</v>
      </c>
      <c r="T55" s="124">
        <v>0</v>
      </c>
      <c r="U55" s="132">
        <v>513.5</v>
      </c>
      <c r="V55" s="124">
        <v>513.5</v>
      </c>
      <c r="W55" s="124">
        <v>0</v>
      </c>
      <c r="X55" s="63"/>
      <c r="Y55" s="50"/>
      <c r="Z55" s="50"/>
      <c r="AA55" s="50"/>
      <c r="AB55" s="50"/>
      <c r="AC55" s="50"/>
      <c r="AD55" s="50"/>
    </row>
    <row r="56" spans="1:30" ht="171" customHeight="1">
      <c r="A56" s="55"/>
      <c r="B56" s="41"/>
      <c r="C56" s="73" t="s">
        <v>419</v>
      </c>
      <c r="D56" s="58" t="s">
        <v>33</v>
      </c>
      <c r="E56" s="86" t="s">
        <v>420</v>
      </c>
      <c r="F56" s="86" t="s">
        <v>421</v>
      </c>
      <c r="G56" s="64" t="s">
        <v>422</v>
      </c>
      <c r="H56" s="102" t="s">
        <v>164</v>
      </c>
      <c r="I56" s="102">
        <v>39332</v>
      </c>
      <c r="J56" s="88" t="s">
        <v>209</v>
      </c>
      <c r="K56" s="88" t="s">
        <v>301</v>
      </c>
      <c r="L56" s="127">
        <v>518.8</v>
      </c>
      <c r="M56" s="124">
        <v>518.8</v>
      </c>
      <c r="N56" s="124">
        <v>469.7</v>
      </c>
      <c r="O56" s="132">
        <v>465.4</v>
      </c>
      <c r="P56" s="124">
        <v>465.4</v>
      </c>
      <c r="Q56" s="124">
        <v>0</v>
      </c>
      <c r="R56" s="132">
        <v>465.4</v>
      </c>
      <c r="S56" s="124">
        <v>465.4</v>
      </c>
      <c r="T56" s="124">
        <v>0</v>
      </c>
      <c r="U56" s="132">
        <v>465.4</v>
      </c>
      <c r="V56" s="124">
        <v>465.4</v>
      </c>
      <c r="W56" s="124">
        <v>0</v>
      </c>
      <c r="X56" s="63"/>
      <c r="Y56" s="50"/>
      <c r="Z56" s="50"/>
      <c r="AA56" s="50"/>
      <c r="AB56" s="50"/>
      <c r="AC56" s="50"/>
      <c r="AD56" s="50"/>
    </row>
    <row r="57" spans="1:30" ht="353.25" customHeight="1">
      <c r="A57" s="55"/>
      <c r="B57" s="41"/>
      <c r="C57" s="73" t="s">
        <v>240</v>
      </c>
      <c r="D57" s="58" t="s">
        <v>203</v>
      </c>
      <c r="E57" s="86" t="s">
        <v>204</v>
      </c>
      <c r="F57" s="86" t="s">
        <v>205</v>
      </c>
      <c r="G57" s="58" t="s">
        <v>206</v>
      </c>
      <c r="H57" s="99" t="s">
        <v>423</v>
      </c>
      <c r="I57" s="86" t="s">
        <v>208</v>
      </c>
      <c r="J57" s="88" t="s">
        <v>209</v>
      </c>
      <c r="K57" s="88" t="s">
        <v>108</v>
      </c>
      <c r="L57" s="127">
        <v>60425.8</v>
      </c>
      <c r="M57" s="124">
        <v>60272.4</v>
      </c>
      <c r="N57" s="124">
        <v>63424.3</v>
      </c>
      <c r="O57" s="132">
        <v>64356.7</v>
      </c>
      <c r="P57" s="124">
        <v>64356.7</v>
      </c>
      <c r="Q57" s="124">
        <v>0</v>
      </c>
      <c r="R57" s="132">
        <v>64356.7</v>
      </c>
      <c r="S57" s="124">
        <v>64356.7</v>
      </c>
      <c r="T57" s="124">
        <v>0</v>
      </c>
      <c r="U57" s="132">
        <v>64356.7</v>
      </c>
      <c r="V57" s="124">
        <v>64356.7</v>
      </c>
      <c r="W57" s="124">
        <v>0</v>
      </c>
      <c r="X57" s="63"/>
      <c r="Y57" s="50"/>
      <c r="Z57" s="50"/>
      <c r="AA57" s="50"/>
      <c r="AB57" s="50"/>
      <c r="AC57" s="50"/>
      <c r="AD57" s="50"/>
    </row>
    <row r="58" spans="1:30" ht="327" customHeight="1">
      <c r="A58" s="55"/>
      <c r="B58" s="41"/>
      <c r="C58" s="73" t="s">
        <v>424</v>
      </c>
      <c r="D58" s="58" t="s">
        <v>425</v>
      </c>
      <c r="E58" s="86" t="s">
        <v>426</v>
      </c>
      <c r="F58" s="86" t="s">
        <v>427</v>
      </c>
      <c r="G58" s="58" t="s">
        <v>428</v>
      </c>
      <c r="H58" s="99" t="s">
        <v>429</v>
      </c>
      <c r="I58" s="86" t="s">
        <v>430</v>
      </c>
      <c r="J58" s="88" t="s">
        <v>24</v>
      </c>
      <c r="K58" s="88" t="s">
        <v>22</v>
      </c>
      <c r="L58" s="127">
        <v>2139.6</v>
      </c>
      <c r="M58" s="124">
        <v>1990.5</v>
      </c>
      <c r="N58" s="124">
        <v>2011.3</v>
      </c>
      <c r="O58" s="132">
        <v>2067.5</v>
      </c>
      <c r="P58" s="124">
        <v>2067.5</v>
      </c>
      <c r="Q58" s="124">
        <v>0</v>
      </c>
      <c r="R58" s="132">
        <v>2067.5</v>
      </c>
      <c r="S58" s="124">
        <v>2067.5</v>
      </c>
      <c r="T58" s="124">
        <v>0</v>
      </c>
      <c r="U58" s="132">
        <v>2067.5</v>
      </c>
      <c r="V58" s="124">
        <v>2067.5</v>
      </c>
      <c r="W58" s="124">
        <v>0</v>
      </c>
      <c r="X58" s="63"/>
      <c r="Y58" s="50"/>
      <c r="Z58" s="50"/>
      <c r="AA58" s="50"/>
      <c r="AB58" s="50"/>
      <c r="AC58" s="50"/>
      <c r="AD58" s="50"/>
    </row>
    <row r="59" spans="1:30" ht="199.5" customHeight="1">
      <c r="A59" s="55"/>
      <c r="B59" s="41"/>
      <c r="C59" s="72" t="s">
        <v>338</v>
      </c>
      <c r="D59" s="61"/>
      <c r="E59" s="113"/>
      <c r="F59" s="113"/>
      <c r="G59" s="48" t="s">
        <v>339</v>
      </c>
      <c r="H59" s="103" t="s">
        <v>340</v>
      </c>
      <c r="I59" s="103" t="s">
        <v>341</v>
      </c>
      <c r="J59" s="90" t="s">
        <v>22</v>
      </c>
      <c r="K59" s="90" t="s">
        <v>23</v>
      </c>
      <c r="L59" s="130">
        <v>2144.1</v>
      </c>
      <c r="M59" s="124">
        <v>2144.1</v>
      </c>
      <c r="N59" s="124"/>
      <c r="O59" s="133"/>
      <c r="P59" s="124"/>
      <c r="Q59" s="124"/>
      <c r="R59" s="133"/>
      <c r="S59" s="124"/>
      <c r="T59" s="124"/>
      <c r="U59" s="133"/>
      <c r="V59" s="124"/>
      <c r="W59" s="124"/>
      <c r="X59" s="63"/>
      <c r="Y59" s="50"/>
      <c r="Z59" s="50"/>
      <c r="AA59" s="50"/>
      <c r="AB59" s="50"/>
      <c r="AC59" s="50"/>
      <c r="AD59" s="50"/>
    </row>
    <row r="60" spans="1:30" ht="197.25" customHeight="1">
      <c r="A60" s="55"/>
      <c r="B60" s="41"/>
      <c r="C60" s="72" t="s">
        <v>342</v>
      </c>
      <c r="D60" s="65"/>
      <c r="E60" s="113"/>
      <c r="F60" s="113"/>
      <c r="G60" s="48" t="s">
        <v>339</v>
      </c>
      <c r="H60" s="103" t="s">
        <v>340</v>
      </c>
      <c r="I60" s="103" t="s">
        <v>343</v>
      </c>
      <c r="J60" s="90" t="s">
        <v>22</v>
      </c>
      <c r="K60" s="90" t="s">
        <v>23</v>
      </c>
      <c r="L60" s="130">
        <v>281.7</v>
      </c>
      <c r="M60" s="124">
        <v>281.7</v>
      </c>
      <c r="N60" s="124"/>
      <c r="O60" s="133"/>
      <c r="P60" s="124"/>
      <c r="Q60" s="124"/>
      <c r="R60" s="136"/>
      <c r="S60" s="130"/>
      <c r="T60" s="124"/>
      <c r="U60" s="133"/>
      <c r="V60" s="124"/>
      <c r="W60" s="124"/>
      <c r="X60" s="63"/>
      <c r="Y60" s="50"/>
      <c r="Z60" s="50"/>
      <c r="AA60" s="50"/>
      <c r="AB60" s="50"/>
      <c r="AC60" s="50"/>
      <c r="AD60" s="50"/>
    </row>
    <row r="61" spans="1:30" ht="200.25" customHeight="1">
      <c r="A61" s="55"/>
      <c r="B61" s="41"/>
      <c r="C61" s="72" t="s">
        <v>344</v>
      </c>
      <c r="D61" s="61"/>
      <c r="E61" s="113"/>
      <c r="F61" s="113"/>
      <c r="G61" s="48" t="s">
        <v>339</v>
      </c>
      <c r="H61" s="103" t="s">
        <v>340</v>
      </c>
      <c r="I61" s="103" t="s">
        <v>345</v>
      </c>
      <c r="J61" s="90" t="s">
        <v>22</v>
      </c>
      <c r="K61" s="90" t="s">
        <v>23</v>
      </c>
      <c r="L61" s="130">
        <v>0.6</v>
      </c>
      <c r="M61" s="124">
        <v>0.6</v>
      </c>
      <c r="N61" s="124"/>
      <c r="O61" s="133"/>
      <c r="P61" s="124"/>
      <c r="Q61" s="124"/>
      <c r="R61" s="133"/>
      <c r="S61" s="124"/>
      <c r="T61" s="124"/>
      <c r="U61" s="133"/>
      <c r="V61" s="124"/>
      <c r="W61" s="124"/>
      <c r="X61" s="63"/>
      <c r="Y61" s="50"/>
      <c r="Z61" s="50"/>
      <c r="AA61" s="50"/>
      <c r="AB61" s="50"/>
      <c r="AC61" s="50"/>
      <c r="AD61" s="50"/>
    </row>
    <row r="62" spans="1:30" ht="227.25" customHeight="1">
      <c r="A62" s="55"/>
      <c r="B62" s="41"/>
      <c r="C62" s="73" t="s">
        <v>431</v>
      </c>
      <c r="D62" s="58" t="s">
        <v>432</v>
      </c>
      <c r="E62" s="86" t="s">
        <v>433</v>
      </c>
      <c r="F62" s="91" t="s">
        <v>434</v>
      </c>
      <c r="G62" s="58" t="s">
        <v>435</v>
      </c>
      <c r="H62" s="99" t="s">
        <v>436</v>
      </c>
      <c r="I62" s="86" t="s">
        <v>437</v>
      </c>
      <c r="J62" s="85" t="s">
        <v>209</v>
      </c>
      <c r="K62" s="85" t="s">
        <v>209</v>
      </c>
      <c r="L62" s="125">
        <v>106.1</v>
      </c>
      <c r="M62" s="124">
        <v>106.1</v>
      </c>
      <c r="N62" s="124">
        <v>267</v>
      </c>
      <c r="O62" s="132">
        <v>240.3</v>
      </c>
      <c r="P62" s="124">
        <v>240.3</v>
      </c>
      <c r="Q62" s="124">
        <v>0</v>
      </c>
      <c r="R62" s="132">
        <v>240.3</v>
      </c>
      <c r="S62" s="124">
        <v>240.3</v>
      </c>
      <c r="T62" s="124">
        <v>0</v>
      </c>
      <c r="U62" s="132">
        <v>240.3</v>
      </c>
      <c r="V62" s="124">
        <v>240.3</v>
      </c>
      <c r="W62" s="124">
        <v>0</v>
      </c>
      <c r="X62" s="63"/>
      <c r="Y62" s="50"/>
      <c r="Z62" s="50"/>
      <c r="AA62" s="50"/>
      <c r="AB62" s="50"/>
      <c r="AC62" s="50"/>
      <c r="AD62" s="50"/>
    </row>
    <row r="63" spans="1:30" ht="291" customHeight="1">
      <c r="A63" s="55"/>
      <c r="B63" s="41"/>
      <c r="C63" s="72" t="s">
        <v>346</v>
      </c>
      <c r="D63" s="61"/>
      <c r="E63" s="113"/>
      <c r="F63" s="114"/>
      <c r="G63" s="47" t="s">
        <v>347</v>
      </c>
      <c r="H63" s="90" t="s">
        <v>340</v>
      </c>
      <c r="I63" s="103" t="s">
        <v>348</v>
      </c>
      <c r="J63" s="90" t="s">
        <v>22</v>
      </c>
      <c r="K63" s="90" t="s">
        <v>23</v>
      </c>
      <c r="L63" s="130">
        <v>135.7</v>
      </c>
      <c r="M63" s="124">
        <v>135.3</v>
      </c>
      <c r="N63" s="124"/>
      <c r="O63" s="133"/>
      <c r="P63" s="124"/>
      <c r="Q63" s="124"/>
      <c r="R63" s="133"/>
      <c r="S63" s="124"/>
      <c r="T63" s="124"/>
      <c r="U63" s="133"/>
      <c r="V63" s="124"/>
      <c r="W63" s="124"/>
      <c r="X63" s="63"/>
      <c r="Y63" s="50"/>
      <c r="Z63" s="50"/>
      <c r="AA63" s="50"/>
      <c r="AB63" s="50"/>
      <c r="AC63" s="50"/>
      <c r="AD63" s="50"/>
    </row>
    <row r="64" spans="1:30" ht="165" customHeight="1">
      <c r="A64" s="55"/>
      <c r="B64" s="41"/>
      <c r="C64" s="72" t="s">
        <v>349</v>
      </c>
      <c r="D64" s="48" t="s">
        <v>350</v>
      </c>
      <c r="E64" s="113" t="s">
        <v>340</v>
      </c>
      <c r="F64" s="115" t="s">
        <v>351</v>
      </c>
      <c r="G64" s="48" t="s">
        <v>352</v>
      </c>
      <c r="H64" s="90" t="s">
        <v>340</v>
      </c>
      <c r="I64" s="103" t="s">
        <v>351</v>
      </c>
      <c r="J64" s="90" t="s">
        <v>22</v>
      </c>
      <c r="K64" s="90" t="s">
        <v>23</v>
      </c>
      <c r="L64" s="130">
        <v>3656.6</v>
      </c>
      <c r="M64" s="124">
        <v>3656.6</v>
      </c>
      <c r="N64" s="124"/>
      <c r="O64" s="133"/>
      <c r="P64" s="124"/>
      <c r="Q64" s="124"/>
      <c r="R64" s="133"/>
      <c r="S64" s="124"/>
      <c r="T64" s="124"/>
      <c r="U64" s="133"/>
      <c r="V64" s="124"/>
      <c r="W64" s="124"/>
      <c r="X64" s="63"/>
      <c r="Y64" s="50"/>
      <c r="Z64" s="50"/>
      <c r="AA64" s="50"/>
      <c r="AB64" s="50"/>
      <c r="AC64" s="50"/>
      <c r="AD64" s="50"/>
    </row>
    <row r="65" spans="1:30" ht="408.75" customHeight="1">
      <c r="A65" s="55"/>
      <c r="B65" s="41"/>
      <c r="C65" s="73" t="s">
        <v>248</v>
      </c>
      <c r="D65" s="58" t="s">
        <v>249</v>
      </c>
      <c r="E65" s="86"/>
      <c r="F65" s="86" t="s">
        <v>250</v>
      </c>
      <c r="G65" s="111" t="s">
        <v>473</v>
      </c>
      <c r="H65" s="86"/>
      <c r="I65" s="86" t="s">
        <v>251</v>
      </c>
      <c r="J65" s="85" t="s">
        <v>24</v>
      </c>
      <c r="K65" s="85" t="s">
        <v>22</v>
      </c>
      <c r="L65" s="125">
        <v>125.7</v>
      </c>
      <c r="M65" s="125">
        <v>123.1</v>
      </c>
      <c r="N65" s="125"/>
      <c r="O65" s="126">
        <f>P65+Q65</f>
        <v>127</v>
      </c>
      <c r="P65" s="125">
        <f>110.6+16.4</f>
        <v>127</v>
      </c>
      <c r="Q65" s="125"/>
      <c r="R65" s="126">
        <f>S65+T65</f>
        <v>0</v>
      </c>
      <c r="S65" s="125"/>
      <c r="T65" s="125"/>
      <c r="U65" s="126">
        <f>V65+W65</f>
        <v>0</v>
      </c>
      <c r="V65" s="125"/>
      <c r="W65" s="125"/>
      <c r="X65" s="63"/>
      <c r="Y65" s="50"/>
      <c r="Z65" s="50"/>
      <c r="AA65" s="50"/>
      <c r="AB65" s="50"/>
      <c r="AC65" s="50"/>
      <c r="AD65" s="50"/>
    </row>
    <row r="66" spans="1:30" ht="135.75" customHeight="1">
      <c r="A66" s="55"/>
      <c r="B66" s="41"/>
      <c r="C66" s="72" t="s">
        <v>353</v>
      </c>
      <c r="D66" s="61"/>
      <c r="E66" s="113"/>
      <c r="F66" s="113"/>
      <c r="G66" s="65" t="s">
        <v>354</v>
      </c>
      <c r="H66" s="103" t="s">
        <v>340</v>
      </c>
      <c r="I66" s="103" t="s">
        <v>351</v>
      </c>
      <c r="J66" s="90" t="s">
        <v>22</v>
      </c>
      <c r="K66" s="90" t="s">
        <v>23</v>
      </c>
      <c r="L66" s="130">
        <v>6525.6</v>
      </c>
      <c r="M66" s="124">
        <v>6525.6</v>
      </c>
      <c r="N66" s="124"/>
      <c r="O66" s="133"/>
      <c r="P66" s="124"/>
      <c r="Q66" s="124"/>
      <c r="R66" s="133"/>
      <c r="S66" s="124"/>
      <c r="T66" s="124"/>
      <c r="U66" s="133"/>
      <c r="V66" s="124"/>
      <c r="W66" s="124"/>
      <c r="X66" s="63"/>
      <c r="Y66" s="50"/>
      <c r="Z66" s="50"/>
      <c r="AA66" s="50"/>
      <c r="AB66" s="50"/>
      <c r="AC66" s="50"/>
      <c r="AD66" s="50"/>
    </row>
    <row r="67" spans="1:30" ht="249" customHeight="1">
      <c r="A67" s="55"/>
      <c r="B67" s="41"/>
      <c r="C67" s="73" t="s">
        <v>241</v>
      </c>
      <c r="D67" s="58" t="s">
        <v>172</v>
      </c>
      <c r="E67" s="86" t="s">
        <v>164</v>
      </c>
      <c r="F67" s="86" t="s">
        <v>173</v>
      </c>
      <c r="G67" s="58" t="s">
        <v>174</v>
      </c>
      <c r="H67" s="102" t="s">
        <v>164</v>
      </c>
      <c r="I67" s="86" t="s">
        <v>175</v>
      </c>
      <c r="J67" s="88" t="s">
        <v>24</v>
      </c>
      <c r="K67" s="88" t="s">
        <v>22</v>
      </c>
      <c r="L67" s="125">
        <f>3056.5-175.9</f>
        <v>2880.6</v>
      </c>
      <c r="M67" s="125">
        <v>2880.6</v>
      </c>
      <c r="N67" s="125">
        <f>4135.3-902.4</f>
        <v>3232.9</v>
      </c>
      <c r="O67" s="126">
        <f>P67+Q67</f>
        <v>3780</v>
      </c>
      <c r="P67" s="125">
        <f>4135.3+175.2+1469.5-2000</f>
        <v>3780</v>
      </c>
      <c r="Q67" s="125"/>
      <c r="R67" s="126">
        <f>S67+T67</f>
        <v>3780</v>
      </c>
      <c r="S67" s="125">
        <f>4135.3+175.2+1469.5-2000</f>
        <v>3780</v>
      </c>
      <c r="T67" s="125"/>
      <c r="U67" s="126">
        <f>V67+W67</f>
        <v>3780</v>
      </c>
      <c r="V67" s="125">
        <f>4135.3+175.2+1469.5-2000</f>
        <v>3780</v>
      </c>
      <c r="W67" s="125"/>
      <c r="X67" s="63"/>
      <c r="Y67" s="50"/>
      <c r="Z67" s="50"/>
      <c r="AA67" s="50"/>
      <c r="AB67" s="50"/>
      <c r="AC67" s="50"/>
      <c r="AD67" s="50"/>
    </row>
    <row r="68" spans="1:30" ht="249" customHeight="1">
      <c r="A68" s="55"/>
      <c r="B68" s="41"/>
      <c r="C68" s="72" t="s">
        <v>355</v>
      </c>
      <c r="D68" s="61"/>
      <c r="E68" s="113"/>
      <c r="F68" s="113"/>
      <c r="G68" s="48" t="s">
        <v>356</v>
      </c>
      <c r="H68" s="103" t="s">
        <v>340</v>
      </c>
      <c r="I68" s="103" t="s">
        <v>345</v>
      </c>
      <c r="J68" s="90" t="s">
        <v>22</v>
      </c>
      <c r="K68" s="90" t="s">
        <v>23</v>
      </c>
      <c r="L68" s="130"/>
      <c r="M68" s="124"/>
      <c r="N68" s="124">
        <v>4204.4</v>
      </c>
      <c r="O68" s="133">
        <v>6762.5</v>
      </c>
      <c r="P68" s="124">
        <v>6762.5</v>
      </c>
      <c r="Q68" s="124"/>
      <c r="R68" s="133">
        <v>6762.5</v>
      </c>
      <c r="S68" s="124">
        <v>6762.5</v>
      </c>
      <c r="T68" s="124"/>
      <c r="U68" s="133">
        <v>6762.5</v>
      </c>
      <c r="V68" s="124">
        <v>6762.5</v>
      </c>
      <c r="W68" s="124"/>
      <c r="X68" s="63"/>
      <c r="Y68" s="50"/>
      <c r="Z68" s="50"/>
      <c r="AA68" s="50"/>
      <c r="AB68" s="50"/>
      <c r="AC68" s="50"/>
      <c r="AD68" s="50"/>
    </row>
    <row r="69" spans="1:30" ht="249" customHeight="1">
      <c r="A69" s="55"/>
      <c r="B69" s="41"/>
      <c r="C69" s="72" t="s">
        <v>357</v>
      </c>
      <c r="D69" s="61"/>
      <c r="E69" s="113"/>
      <c r="F69" s="113"/>
      <c r="G69" s="48" t="s">
        <v>352</v>
      </c>
      <c r="H69" s="90" t="s">
        <v>340</v>
      </c>
      <c r="I69" s="103" t="s">
        <v>351</v>
      </c>
      <c r="J69" s="90" t="s">
        <v>22</v>
      </c>
      <c r="K69" s="90" t="s">
        <v>23</v>
      </c>
      <c r="L69" s="130">
        <v>9716.2</v>
      </c>
      <c r="M69" s="124">
        <v>9716.2</v>
      </c>
      <c r="N69" s="124"/>
      <c r="O69" s="133"/>
      <c r="P69" s="124"/>
      <c r="Q69" s="124"/>
      <c r="R69" s="133"/>
      <c r="S69" s="124"/>
      <c r="T69" s="124"/>
      <c r="U69" s="133"/>
      <c r="V69" s="124"/>
      <c r="W69" s="124"/>
      <c r="X69" s="63"/>
      <c r="Y69" s="50"/>
      <c r="Z69" s="50"/>
      <c r="AA69" s="50"/>
      <c r="AB69" s="50"/>
      <c r="AC69" s="50"/>
      <c r="AD69" s="50"/>
    </row>
    <row r="70" spans="1:30" ht="249" customHeight="1">
      <c r="A70" s="55"/>
      <c r="B70" s="41"/>
      <c r="C70" s="72" t="s">
        <v>358</v>
      </c>
      <c r="D70" s="48" t="s">
        <v>359</v>
      </c>
      <c r="E70" s="115" t="s">
        <v>340</v>
      </c>
      <c r="F70" s="115" t="s">
        <v>351</v>
      </c>
      <c r="G70" s="48" t="s">
        <v>339</v>
      </c>
      <c r="H70" s="103" t="s">
        <v>340</v>
      </c>
      <c r="I70" s="103" t="s">
        <v>345</v>
      </c>
      <c r="J70" s="90" t="s">
        <v>22</v>
      </c>
      <c r="K70" s="90" t="s">
        <v>23</v>
      </c>
      <c r="L70" s="130">
        <v>0.7</v>
      </c>
      <c r="M70" s="124">
        <v>0.7</v>
      </c>
      <c r="N70" s="124"/>
      <c r="O70" s="133"/>
      <c r="P70" s="124"/>
      <c r="Q70" s="124"/>
      <c r="R70" s="133"/>
      <c r="S70" s="124"/>
      <c r="T70" s="124"/>
      <c r="U70" s="133"/>
      <c r="V70" s="124"/>
      <c r="W70" s="124"/>
      <c r="X70" s="63"/>
      <c r="Y70" s="50"/>
      <c r="Z70" s="50"/>
      <c r="AA70" s="50"/>
      <c r="AB70" s="50"/>
      <c r="AC70" s="50"/>
      <c r="AD70" s="50"/>
    </row>
    <row r="71" spans="1:30" ht="201.75" customHeight="1">
      <c r="A71" s="55"/>
      <c r="B71" s="41"/>
      <c r="C71" s="72" t="s">
        <v>360</v>
      </c>
      <c r="D71" s="48" t="s">
        <v>361</v>
      </c>
      <c r="E71" s="115" t="s">
        <v>362</v>
      </c>
      <c r="F71" s="115" t="s">
        <v>351</v>
      </c>
      <c r="G71" s="48" t="s">
        <v>339</v>
      </c>
      <c r="H71" s="103" t="s">
        <v>340</v>
      </c>
      <c r="I71" s="103" t="s">
        <v>345</v>
      </c>
      <c r="J71" s="90" t="s">
        <v>22</v>
      </c>
      <c r="K71" s="90" t="s">
        <v>23</v>
      </c>
      <c r="L71" s="130">
        <v>3230.6</v>
      </c>
      <c r="M71" s="124">
        <v>3230.6</v>
      </c>
      <c r="N71" s="124"/>
      <c r="O71" s="133"/>
      <c r="P71" s="124"/>
      <c r="Q71" s="124"/>
      <c r="R71" s="133"/>
      <c r="S71" s="124"/>
      <c r="T71" s="124"/>
      <c r="U71" s="133"/>
      <c r="V71" s="124"/>
      <c r="W71" s="124"/>
      <c r="X71" s="63"/>
      <c r="Y71" s="50"/>
      <c r="Z71" s="50"/>
      <c r="AA71" s="50"/>
      <c r="AB71" s="50"/>
      <c r="AC71" s="50"/>
      <c r="AD71" s="50"/>
    </row>
    <row r="72" spans="1:30" ht="150.75" customHeight="1">
      <c r="A72" s="55"/>
      <c r="B72" s="41"/>
      <c r="C72" s="73" t="s">
        <v>264</v>
      </c>
      <c r="D72" s="58" t="s">
        <v>265</v>
      </c>
      <c r="E72" s="86" t="s">
        <v>266</v>
      </c>
      <c r="F72" s="86" t="s">
        <v>267</v>
      </c>
      <c r="G72" s="60" t="s">
        <v>200</v>
      </c>
      <c r="H72" s="89" t="s">
        <v>201</v>
      </c>
      <c r="I72" s="104">
        <v>39749</v>
      </c>
      <c r="J72" s="88" t="s">
        <v>24</v>
      </c>
      <c r="K72" s="88" t="s">
        <v>25</v>
      </c>
      <c r="L72" s="125">
        <v>0</v>
      </c>
      <c r="M72" s="125"/>
      <c r="N72" s="125"/>
      <c r="O72" s="126"/>
      <c r="P72" s="125"/>
      <c r="Q72" s="125"/>
      <c r="R72" s="123">
        <f>S72+T72</f>
        <v>0</v>
      </c>
      <c r="S72" s="125"/>
      <c r="T72" s="125"/>
      <c r="U72" s="123">
        <f>V72+W72</f>
        <v>0</v>
      </c>
      <c r="V72" s="125"/>
      <c r="W72" s="125"/>
      <c r="X72" s="63"/>
      <c r="Y72" s="50"/>
      <c r="Z72" s="50"/>
      <c r="AA72" s="50"/>
      <c r="AB72" s="50"/>
      <c r="AC72" s="50"/>
      <c r="AD72" s="50"/>
    </row>
    <row r="73" spans="1:30" ht="140.25" customHeight="1">
      <c r="A73" s="55"/>
      <c r="B73" s="41"/>
      <c r="C73" s="73" t="s">
        <v>242</v>
      </c>
      <c r="D73" s="58" t="s">
        <v>169</v>
      </c>
      <c r="E73" s="86" t="s">
        <v>170</v>
      </c>
      <c r="F73" s="86" t="s">
        <v>171</v>
      </c>
      <c r="G73" s="60" t="s">
        <v>200</v>
      </c>
      <c r="H73" s="89" t="s">
        <v>201</v>
      </c>
      <c r="I73" s="104">
        <v>39749</v>
      </c>
      <c r="J73" s="88" t="s">
        <v>24</v>
      </c>
      <c r="K73" s="88" t="s">
        <v>25</v>
      </c>
      <c r="L73" s="125"/>
      <c r="M73" s="125"/>
      <c r="N73" s="125"/>
      <c r="O73" s="123"/>
      <c r="P73" s="125"/>
      <c r="Q73" s="125"/>
      <c r="R73" s="123">
        <f>S73+T73</f>
        <v>0</v>
      </c>
      <c r="S73" s="125"/>
      <c r="T73" s="125"/>
      <c r="U73" s="123">
        <f>V73+W73</f>
        <v>0</v>
      </c>
      <c r="V73" s="125"/>
      <c r="W73" s="125"/>
      <c r="X73" s="63"/>
      <c r="Y73" s="50"/>
      <c r="Z73" s="50"/>
      <c r="AA73" s="50"/>
      <c r="AB73" s="50"/>
      <c r="AC73" s="50"/>
      <c r="AD73" s="50"/>
    </row>
    <row r="74" spans="1:30" ht="233.25" customHeight="1">
      <c r="A74" s="55"/>
      <c r="B74" s="41"/>
      <c r="C74" s="73" t="s">
        <v>243</v>
      </c>
      <c r="D74" s="58" t="s">
        <v>45</v>
      </c>
      <c r="E74" s="86" t="s">
        <v>47</v>
      </c>
      <c r="F74" s="86" t="s">
        <v>202</v>
      </c>
      <c r="G74" s="58" t="s">
        <v>46</v>
      </c>
      <c r="H74" s="99" t="s">
        <v>48</v>
      </c>
      <c r="I74" s="86" t="s">
        <v>49</v>
      </c>
      <c r="J74" s="88" t="s">
        <v>21</v>
      </c>
      <c r="K74" s="88" t="s">
        <v>23</v>
      </c>
      <c r="L74" s="125">
        <v>7.8</v>
      </c>
      <c r="M74" s="125"/>
      <c r="N74" s="125">
        <v>13.7</v>
      </c>
      <c r="O74" s="123">
        <f>P74+Q74</f>
        <v>12.6</v>
      </c>
      <c r="P74" s="125">
        <f>14.7-2.1</f>
        <v>12.6</v>
      </c>
      <c r="Q74" s="125"/>
      <c r="R74" s="123">
        <f>S74+T74</f>
        <v>54.5</v>
      </c>
      <c r="S74" s="125">
        <f>60.1-5.6</f>
        <v>54.5</v>
      </c>
      <c r="T74" s="125"/>
      <c r="U74" s="123">
        <f>V74+W74</f>
        <v>5.100000000000001</v>
      </c>
      <c r="V74" s="125">
        <f>60.1-5.6-49.4</f>
        <v>5.100000000000001</v>
      </c>
      <c r="W74" s="125"/>
      <c r="X74" s="63"/>
      <c r="Y74" s="50"/>
      <c r="Z74" s="50"/>
      <c r="AA74" s="50"/>
      <c r="AB74" s="50"/>
      <c r="AC74" s="50"/>
      <c r="AD74" s="50"/>
    </row>
    <row r="75" spans="1:30" ht="159.75" customHeight="1">
      <c r="A75" s="55"/>
      <c r="B75" s="41"/>
      <c r="C75" s="72" t="s">
        <v>363</v>
      </c>
      <c r="D75" s="48" t="s">
        <v>364</v>
      </c>
      <c r="E75" s="113" t="s">
        <v>340</v>
      </c>
      <c r="F75" s="115" t="s">
        <v>351</v>
      </c>
      <c r="G75" s="65" t="s">
        <v>354</v>
      </c>
      <c r="H75" s="90" t="s">
        <v>340</v>
      </c>
      <c r="I75" s="103" t="s">
        <v>345</v>
      </c>
      <c r="J75" s="90" t="s">
        <v>22</v>
      </c>
      <c r="K75" s="90" t="s">
        <v>23</v>
      </c>
      <c r="L75" s="130">
        <v>7255.2</v>
      </c>
      <c r="M75" s="124">
        <v>7255.2</v>
      </c>
      <c r="N75" s="124"/>
      <c r="O75" s="133"/>
      <c r="P75" s="124"/>
      <c r="Q75" s="124"/>
      <c r="R75" s="133"/>
      <c r="S75" s="124"/>
      <c r="T75" s="124"/>
      <c r="U75" s="133"/>
      <c r="V75" s="124"/>
      <c r="W75" s="124"/>
      <c r="X75" s="63"/>
      <c r="Y75" s="50"/>
      <c r="Z75" s="50"/>
      <c r="AA75" s="50"/>
      <c r="AB75" s="50"/>
      <c r="AC75" s="50"/>
      <c r="AD75" s="50"/>
    </row>
    <row r="76" spans="1:30" ht="259.5" customHeight="1">
      <c r="A76" s="55"/>
      <c r="B76" s="41"/>
      <c r="C76" s="73" t="s">
        <v>253</v>
      </c>
      <c r="D76" s="58"/>
      <c r="E76" s="86"/>
      <c r="F76" s="86"/>
      <c r="G76" s="58" t="s">
        <v>254</v>
      </c>
      <c r="H76" s="99" t="s">
        <v>164</v>
      </c>
      <c r="I76" s="91">
        <v>42831</v>
      </c>
      <c r="J76" s="88" t="s">
        <v>21</v>
      </c>
      <c r="K76" s="88" t="s">
        <v>22</v>
      </c>
      <c r="L76" s="125">
        <f>383.5+3.5</f>
        <v>387</v>
      </c>
      <c r="M76" s="125">
        <v>386.2</v>
      </c>
      <c r="N76" s="125">
        <v>397.9</v>
      </c>
      <c r="O76" s="123">
        <f>P76+Q76</f>
        <v>394.2</v>
      </c>
      <c r="P76" s="125">
        <f>397.9-3.7</f>
        <v>394.2</v>
      </c>
      <c r="Q76" s="125"/>
      <c r="R76" s="123">
        <f>S76+T76</f>
        <v>394.2</v>
      </c>
      <c r="S76" s="125">
        <f>397.9-3.7</f>
        <v>394.2</v>
      </c>
      <c r="T76" s="125"/>
      <c r="U76" s="123">
        <f>V76+W76</f>
        <v>394.2</v>
      </c>
      <c r="V76" s="125">
        <f>397.9-3.7</f>
        <v>394.2</v>
      </c>
      <c r="W76" s="125"/>
      <c r="X76" s="63"/>
      <c r="Y76" s="50"/>
      <c r="Z76" s="50"/>
      <c r="AA76" s="50"/>
      <c r="AB76" s="50"/>
      <c r="AC76" s="50"/>
      <c r="AD76" s="50"/>
    </row>
    <row r="77" spans="1:30" ht="312.75" customHeight="1">
      <c r="A77" s="55"/>
      <c r="B77" s="41"/>
      <c r="C77" s="73" t="s">
        <v>304</v>
      </c>
      <c r="D77" s="58" t="s">
        <v>369</v>
      </c>
      <c r="E77" s="86" t="s">
        <v>368</v>
      </c>
      <c r="F77" s="86" t="s">
        <v>367</v>
      </c>
      <c r="G77" s="58" t="s">
        <v>370</v>
      </c>
      <c r="H77" s="99" t="s">
        <v>371</v>
      </c>
      <c r="I77" s="91" t="s">
        <v>372</v>
      </c>
      <c r="J77" s="88" t="s">
        <v>365</v>
      </c>
      <c r="K77" s="88" t="s">
        <v>366</v>
      </c>
      <c r="L77" s="125">
        <v>1.3</v>
      </c>
      <c r="M77" s="125">
        <v>1.3</v>
      </c>
      <c r="N77" s="125">
        <f>2.5+968.2</f>
        <v>970.7</v>
      </c>
      <c r="O77" s="123">
        <f>P77+Q77</f>
        <v>1079.8</v>
      </c>
      <c r="P77" s="125">
        <f>2.2+1077.6</f>
        <v>1079.8</v>
      </c>
      <c r="Q77" s="125"/>
      <c r="R77" s="123">
        <f>S77+T77</f>
        <v>953</v>
      </c>
      <c r="S77" s="125">
        <f>2.2+950.8</f>
        <v>953</v>
      </c>
      <c r="T77" s="125"/>
      <c r="U77" s="123">
        <f>V77+W77</f>
        <v>953</v>
      </c>
      <c r="V77" s="125">
        <f>2.2+950.8</f>
        <v>953</v>
      </c>
      <c r="W77" s="125"/>
      <c r="X77" s="63"/>
      <c r="Y77" s="50"/>
      <c r="Z77" s="50"/>
      <c r="AA77" s="50"/>
      <c r="AB77" s="50"/>
      <c r="AC77" s="50"/>
      <c r="AD77" s="50"/>
    </row>
    <row r="78" spans="1:30" ht="288" customHeight="1">
      <c r="A78" s="55"/>
      <c r="B78" s="41"/>
      <c r="C78" s="72" t="s">
        <v>308</v>
      </c>
      <c r="D78" s="58" t="s">
        <v>376</v>
      </c>
      <c r="E78" s="86" t="s">
        <v>375</v>
      </c>
      <c r="F78" s="86" t="s">
        <v>374</v>
      </c>
      <c r="G78" s="58" t="s">
        <v>373</v>
      </c>
      <c r="H78" s="99" t="s">
        <v>371</v>
      </c>
      <c r="I78" s="91" t="s">
        <v>377</v>
      </c>
      <c r="J78" s="88" t="s">
        <v>365</v>
      </c>
      <c r="K78" s="88" t="s">
        <v>378</v>
      </c>
      <c r="L78" s="125"/>
      <c r="M78" s="125"/>
      <c r="N78" s="125">
        <f>1386+1495.5</f>
        <v>2881.5</v>
      </c>
      <c r="O78" s="123">
        <f>P78+Q78</f>
        <v>2363.5</v>
      </c>
      <c r="P78" s="125">
        <f>990+1373.5</f>
        <v>2363.5</v>
      </c>
      <c r="Q78" s="125"/>
      <c r="R78" s="123">
        <f>S78+T78</f>
        <v>1403.4</v>
      </c>
      <c r="S78" s="125">
        <f>1403.4</f>
        <v>1403.4</v>
      </c>
      <c r="T78" s="125"/>
      <c r="U78" s="123">
        <f>V78+W78</f>
        <v>1403.4</v>
      </c>
      <c r="V78" s="125">
        <f>1403.4</f>
        <v>1403.4</v>
      </c>
      <c r="W78" s="125"/>
      <c r="X78" s="63"/>
      <c r="Y78" s="50"/>
      <c r="Z78" s="50"/>
      <c r="AA78" s="50"/>
      <c r="AB78" s="50"/>
      <c r="AC78" s="50"/>
      <c r="AD78" s="50"/>
    </row>
    <row r="79" spans="1:30" ht="208.5" customHeight="1">
      <c r="A79" s="55"/>
      <c r="B79" s="41"/>
      <c r="C79" s="72" t="s">
        <v>379</v>
      </c>
      <c r="D79" s="61"/>
      <c r="E79" s="113"/>
      <c r="F79" s="114"/>
      <c r="G79" s="47" t="s">
        <v>380</v>
      </c>
      <c r="H79" s="90" t="s">
        <v>340</v>
      </c>
      <c r="I79" s="103" t="s">
        <v>381</v>
      </c>
      <c r="J79" s="90" t="s">
        <v>22</v>
      </c>
      <c r="K79" s="90" t="s">
        <v>23</v>
      </c>
      <c r="L79" s="130"/>
      <c r="M79" s="124"/>
      <c r="N79" s="124">
        <v>180.5</v>
      </c>
      <c r="O79" s="133">
        <v>166.7</v>
      </c>
      <c r="P79" s="124">
        <v>166.7</v>
      </c>
      <c r="Q79" s="124"/>
      <c r="R79" s="133">
        <v>166.7</v>
      </c>
      <c r="S79" s="124">
        <v>166.7</v>
      </c>
      <c r="T79" s="124"/>
      <c r="U79" s="133">
        <v>166.7</v>
      </c>
      <c r="V79" s="124">
        <v>166.7</v>
      </c>
      <c r="W79" s="124"/>
      <c r="X79" s="63"/>
      <c r="Y79" s="50"/>
      <c r="Z79" s="50"/>
      <c r="AA79" s="50"/>
      <c r="AB79" s="50"/>
      <c r="AC79" s="50"/>
      <c r="AD79" s="50"/>
    </row>
    <row r="80" spans="1:30" ht="155.25" customHeight="1">
      <c r="A80" s="55"/>
      <c r="B80" s="41"/>
      <c r="C80" s="72" t="s">
        <v>382</v>
      </c>
      <c r="D80" s="48" t="s">
        <v>383</v>
      </c>
      <c r="E80" s="113" t="s">
        <v>384</v>
      </c>
      <c r="F80" s="115" t="s">
        <v>385</v>
      </c>
      <c r="G80" s="48" t="s">
        <v>386</v>
      </c>
      <c r="H80" s="90" t="s">
        <v>340</v>
      </c>
      <c r="I80" s="103" t="s">
        <v>387</v>
      </c>
      <c r="J80" s="90" t="s">
        <v>22</v>
      </c>
      <c r="K80" s="90" t="s">
        <v>23</v>
      </c>
      <c r="L80" s="130"/>
      <c r="M80" s="124"/>
      <c r="N80" s="124">
        <v>1603.2</v>
      </c>
      <c r="O80" s="133">
        <v>4012</v>
      </c>
      <c r="P80" s="124">
        <v>4012</v>
      </c>
      <c r="Q80" s="124"/>
      <c r="R80" s="133">
        <v>4015.6</v>
      </c>
      <c r="S80" s="124">
        <v>4015.6</v>
      </c>
      <c r="T80" s="124"/>
      <c r="U80" s="133">
        <v>4015.6</v>
      </c>
      <c r="V80" s="124">
        <v>4015.6</v>
      </c>
      <c r="W80" s="124"/>
      <c r="X80" s="63"/>
      <c r="Y80" s="50"/>
      <c r="Z80" s="50"/>
      <c r="AA80" s="50"/>
      <c r="AB80" s="50"/>
      <c r="AC80" s="50"/>
      <c r="AD80" s="50"/>
    </row>
    <row r="81" spans="1:30" ht="128.25" customHeight="1">
      <c r="A81" s="55"/>
      <c r="B81" s="41"/>
      <c r="C81" s="72" t="s">
        <v>394</v>
      </c>
      <c r="D81" s="61"/>
      <c r="E81" s="113"/>
      <c r="F81" s="115"/>
      <c r="G81" s="65" t="s">
        <v>392</v>
      </c>
      <c r="H81" s="103" t="s">
        <v>395</v>
      </c>
      <c r="I81" s="103" t="s">
        <v>396</v>
      </c>
      <c r="J81" s="90" t="s">
        <v>22</v>
      </c>
      <c r="K81" s="90" t="s">
        <v>23</v>
      </c>
      <c r="L81" s="130"/>
      <c r="M81" s="124"/>
      <c r="N81" s="124">
        <v>1927.4</v>
      </c>
      <c r="O81" s="133">
        <v>5035.8</v>
      </c>
      <c r="P81" s="124">
        <v>5035.8</v>
      </c>
      <c r="Q81" s="124"/>
      <c r="R81" s="133">
        <v>4894.4</v>
      </c>
      <c r="S81" s="124">
        <v>4894.4</v>
      </c>
      <c r="T81" s="124"/>
      <c r="U81" s="133">
        <v>4925.7</v>
      </c>
      <c r="V81" s="124">
        <v>4925.7</v>
      </c>
      <c r="W81" s="124"/>
      <c r="X81" s="63"/>
      <c r="Y81" s="50"/>
      <c r="Z81" s="50"/>
      <c r="AA81" s="50"/>
      <c r="AB81" s="50"/>
      <c r="AC81" s="50"/>
      <c r="AD81" s="50"/>
    </row>
    <row r="82" spans="1:30" ht="113.25" customHeight="1">
      <c r="A82" s="55"/>
      <c r="B82" s="41"/>
      <c r="C82" s="72" t="s">
        <v>388</v>
      </c>
      <c r="D82" s="61"/>
      <c r="E82" s="113"/>
      <c r="F82" s="113"/>
      <c r="G82" s="48" t="s">
        <v>386</v>
      </c>
      <c r="H82" s="90" t="s">
        <v>340</v>
      </c>
      <c r="I82" s="103" t="s">
        <v>389</v>
      </c>
      <c r="J82" s="90" t="s">
        <v>22</v>
      </c>
      <c r="K82" s="90" t="s">
        <v>23</v>
      </c>
      <c r="L82" s="130"/>
      <c r="M82" s="124"/>
      <c r="N82" s="124">
        <v>3635.8</v>
      </c>
      <c r="O82" s="133">
        <v>9341.5</v>
      </c>
      <c r="P82" s="124">
        <v>9341.5</v>
      </c>
      <c r="Q82" s="124"/>
      <c r="R82" s="133">
        <v>9341.5</v>
      </c>
      <c r="S82" s="124">
        <v>9341.5</v>
      </c>
      <c r="T82" s="124"/>
      <c r="U82" s="133">
        <v>9341.5</v>
      </c>
      <c r="V82" s="124">
        <v>9341.5</v>
      </c>
      <c r="W82" s="124"/>
      <c r="X82" s="63"/>
      <c r="Y82" s="50"/>
      <c r="Z82" s="50"/>
      <c r="AA82" s="50"/>
      <c r="AB82" s="50"/>
      <c r="AC82" s="50"/>
      <c r="AD82" s="50"/>
    </row>
    <row r="83" spans="1:30" ht="158.25" customHeight="1">
      <c r="A83" s="55"/>
      <c r="B83" s="41"/>
      <c r="C83" s="72" t="s">
        <v>390</v>
      </c>
      <c r="D83" s="48" t="s">
        <v>383</v>
      </c>
      <c r="E83" s="115" t="s">
        <v>340</v>
      </c>
      <c r="F83" s="115" t="s">
        <v>385</v>
      </c>
      <c r="G83" s="48" t="s">
        <v>386</v>
      </c>
      <c r="H83" s="103" t="s">
        <v>340</v>
      </c>
      <c r="I83" s="103" t="s">
        <v>387</v>
      </c>
      <c r="J83" s="90" t="s">
        <v>22</v>
      </c>
      <c r="K83" s="90" t="s">
        <v>23</v>
      </c>
      <c r="L83" s="130"/>
      <c r="M83" s="124"/>
      <c r="N83" s="124">
        <v>1727.1</v>
      </c>
      <c r="O83" s="133">
        <v>1352.9</v>
      </c>
      <c r="P83" s="124">
        <v>1352.9</v>
      </c>
      <c r="Q83" s="124"/>
      <c r="R83" s="133">
        <v>1352.9</v>
      </c>
      <c r="S83" s="124">
        <v>1352.9</v>
      </c>
      <c r="T83" s="124"/>
      <c r="U83" s="133">
        <v>1352.9</v>
      </c>
      <c r="V83" s="124">
        <v>1352.9</v>
      </c>
      <c r="W83" s="124"/>
      <c r="X83" s="63"/>
      <c r="Y83" s="50"/>
      <c r="Z83" s="50"/>
      <c r="AA83" s="50"/>
      <c r="AB83" s="50"/>
      <c r="AC83" s="50"/>
      <c r="AD83" s="50"/>
    </row>
    <row r="84" spans="1:30" ht="157.5" customHeight="1">
      <c r="A84" s="55"/>
      <c r="B84" s="41"/>
      <c r="C84" s="72" t="s">
        <v>391</v>
      </c>
      <c r="D84" s="48" t="s">
        <v>383</v>
      </c>
      <c r="E84" s="113" t="s">
        <v>384</v>
      </c>
      <c r="F84" s="115" t="s">
        <v>385</v>
      </c>
      <c r="G84" s="65" t="s">
        <v>392</v>
      </c>
      <c r="H84" s="90" t="s">
        <v>340</v>
      </c>
      <c r="I84" s="103" t="s">
        <v>393</v>
      </c>
      <c r="J84" s="90" t="s">
        <v>22</v>
      </c>
      <c r="K84" s="90" t="s">
        <v>23</v>
      </c>
      <c r="L84" s="124"/>
      <c r="M84" s="124"/>
      <c r="N84" s="124">
        <v>2138.7</v>
      </c>
      <c r="O84" s="133">
        <v>6810.9</v>
      </c>
      <c r="P84" s="124">
        <v>6810.9</v>
      </c>
      <c r="Q84" s="124"/>
      <c r="R84" s="133">
        <v>6757.5</v>
      </c>
      <c r="S84" s="124">
        <v>6757.5</v>
      </c>
      <c r="T84" s="124"/>
      <c r="U84" s="133">
        <v>6939.4</v>
      </c>
      <c r="V84" s="124">
        <v>6939.4</v>
      </c>
      <c r="W84" s="124"/>
      <c r="X84" s="63"/>
      <c r="Y84" s="50"/>
      <c r="Z84" s="50"/>
      <c r="AA84" s="50"/>
      <c r="AB84" s="50"/>
      <c r="AC84" s="50"/>
      <c r="AD84" s="50"/>
    </row>
    <row r="85" spans="1:30" s="52" customFormat="1" ht="213" customHeight="1">
      <c r="A85" s="66"/>
      <c r="B85" s="42"/>
      <c r="C85" s="78" t="s">
        <v>276</v>
      </c>
      <c r="D85" s="67" t="s">
        <v>19</v>
      </c>
      <c r="E85" s="116" t="s">
        <v>19</v>
      </c>
      <c r="F85" s="116" t="s">
        <v>19</v>
      </c>
      <c r="G85" s="67" t="s">
        <v>19</v>
      </c>
      <c r="H85" s="105" t="s">
        <v>19</v>
      </c>
      <c r="I85" s="105" t="s">
        <v>19</v>
      </c>
      <c r="J85" s="106" t="s">
        <v>19</v>
      </c>
      <c r="K85" s="106" t="s">
        <v>19</v>
      </c>
      <c r="L85" s="123">
        <f>L86+L88+L91</f>
        <v>57598.4</v>
      </c>
      <c r="M85" s="123">
        <f aca="true" t="shared" si="6" ref="M85:V85">M86+M88+M91</f>
        <v>57192.7</v>
      </c>
      <c r="N85" s="123">
        <f t="shared" si="6"/>
        <v>67542.3</v>
      </c>
      <c r="O85" s="123">
        <f t="shared" si="6"/>
        <v>61647</v>
      </c>
      <c r="P85" s="123">
        <f t="shared" si="6"/>
        <v>61647</v>
      </c>
      <c r="Q85" s="123">
        <f t="shared" si="6"/>
        <v>0</v>
      </c>
      <c r="R85" s="123">
        <f t="shared" si="6"/>
        <v>46707</v>
      </c>
      <c r="S85" s="123">
        <f t="shared" si="6"/>
        <v>46707</v>
      </c>
      <c r="T85" s="123">
        <f t="shared" si="6"/>
        <v>0</v>
      </c>
      <c r="U85" s="123">
        <f t="shared" si="6"/>
        <v>44665.3</v>
      </c>
      <c r="V85" s="123">
        <f t="shared" si="6"/>
        <v>44665.3</v>
      </c>
      <c r="W85" s="123">
        <f>W95+W86</f>
        <v>0</v>
      </c>
      <c r="X85" s="66"/>
      <c r="Y85" s="51"/>
      <c r="Z85" s="51"/>
      <c r="AA85" s="51"/>
      <c r="AB85" s="51"/>
      <c r="AC85" s="51"/>
      <c r="AD85" s="51"/>
    </row>
    <row r="86" spans="1:30" ht="82.5" customHeight="1">
      <c r="A86" s="55"/>
      <c r="B86" s="42"/>
      <c r="C86" s="72" t="s">
        <v>277</v>
      </c>
      <c r="D86" s="58" t="s">
        <v>45</v>
      </c>
      <c r="E86" s="86" t="s">
        <v>450</v>
      </c>
      <c r="F86" s="86" t="s">
        <v>202</v>
      </c>
      <c r="G86" s="59" t="s">
        <v>451</v>
      </c>
      <c r="H86" s="87" t="s">
        <v>452</v>
      </c>
      <c r="I86" s="87" t="s">
        <v>453</v>
      </c>
      <c r="J86" s="85" t="s">
        <v>454</v>
      </c>
      <c r="K86" s="85" t="s">
        <v>21</v>
      </c>
      <c r="L86" s="124">
        <v>18973.4</v>
      </c>
      <c r="M86" s="124">
        <v>18973.4</v>
      </c>
      <c r="N86" s="124">
        <v>23847.3</v>
      </c>
      <c r="O86" s="132">
        <f>P86+Q86</f>
        <v>23854</v>
      </c>
      <c r="P86" s="124">
        <v>23854</v>
      </c>
      <c r="Q86" s="124">
        <v>0</v>
      </c>
      <c r="R86" s="132">
        <f>S86+T86</f>
        <v>18656.7</v>
      </c>
      <c r="S86" s="124">
        <v>18656.7</v>
      </c>
      <c r="T86" s="124">
        <v>0</v>
      </c>
      <c r="U86" s="132">
        <f>V86+W86</f>
        <v>18663.9</v>
      </c>
      <c r="V86" s="124">
        <v>18663.9</v>
      </c>
      <c r="W86" s="124">
        <v>0</v>
      </c>
      <c r="X86" s="55"/>
      <c r="Y86" s="50"/>
      <c r="Z86" s="50"/>
      <c r="AA86" s="50"/>
      <c r="AB86" s="50"/>
      <c r="AC86" s="50"/>
      <c r="AD86" s="50"/>
    </row>
    <row r="87" spans="1:30" ht="38.25" customHeight="1">
      <c r="A87" s="55"/>
      <c r="B87" s="42"/>
      <c r="C87" s="72" t="s">
        <v>278</v>
      </c>
      <c r="D87" s="61"/>
      <c r="E87" s="113"/>
      <c r="F87" s="113"/>
      <c r="G87" s="61"/>
      <c r="H87" s="90"/>
      <c r="I87" s="90"/>
      <c r="J87" s="90"/>
      <c r="K87" s="90"/>
      <c r="L87" s="124"/>
      <c r="M87" s="124"/>
      <c r="N87" s="124"/>
      <c r="O87" s="132"/>
      <c r="P87" s="124"/>
      <c r="Q87" s="124"/>
      <c r="R87" s="132"/>
      <c r="S87" s="124"/>
      <c r="T87" s="124"/>
      <c r="U87" s="132"/>
      <c r="V87" s="124"/>
      <c r="W87" s="124"/>
      <c r="X87" s="55"/>
      <c r="Y87" s="50"/>
      <c r="Z87" s="50"/>
      <c r="AA87" s="50"/>
      <c r="AB87" s="50"/>
      <c r="AC87" s="50"/>
      <c r="AD87" s="50"/>
    </row>
    <row r="88" spans="1:30" ht="172.5" customHeight="1">
      <c r="A88" s="55"/>
      <c r="B88" s="42"/>
      <c r="C88" s="72" t="s">
        <v>279</v>
      </c>
      <c r="D88" s="68" t="s">
        <v>19</v>
      </c>
      <c r="E88" s="117" t="s">
        <v>19</v>
      </c>
      <c r="F88" s="117" t="s">
        <v>19</v>
      </c>
      <c r="G88" s="68" t="s">
        <v>19</v>
      </c>
      <c r="H88" s="107" t="s">
        <v>19</v>
      </c>
      <c r="I88" s="107" t="s">
        <v>19</v>
      </c>
      <c r="J88" s="107" t="s">
        <v>19</v>
      </c>
      <c r="K88" s="107" t="s">
        <v>19</v>
      </c>
      <c r="L88" s="124">
        <v>358.9</v>
      </c>
      <c r="M88" s="125">
        <v>244.8</v>
      </c>
      <c r="N88" s="124">
        <v>323.9</v>
      </c>
      <c r="O88" s="132">
        <f>P88+Q88</f>
        <v>375.5</v>
      </c>
      <c r="P88" s="124">
        <v>375.5</v>
      </c>
      <c r="Q88" s="124">
        <v>0</v>
      </c>
      <c r="R88" s="132">
        <f>S88+T88</f>
        <v>379.2</v>
      </c>
      <c r="S88" s="124">
        <v>379.2</v>
      </c>
      <c r="T88" s="124">
        <v>0</v>
      </c>
      <c r="U88" s="132">
        <f>V88+W88</f>
        <v>393.4</v>
      </c>
      <c r="V88" s="124">
        <v>393.4</v>
      </c>
      <c r="W88" s="124">
        <v>0</v>
      </c>
      <c r="X88" s="55"/>
      <c r="Y88" s="50"/>
      <c r="Z88" s="50"/>
      <c r="AA88" s="50"/>
      <c r="AB88" s="50"/>
      <c r="AC88" s="50"/>
      <c r="AD88" s="50"/>
    </row>
    <row r="89" spans="1:30" ht="19.5" customHeight="1">
      <c r="A89" s="55"/>
      <c r="B89" s="42"/>
      <c r="C89" s="72" t="s">
        <v>280</v>
      </c>
      <c r="D89" s="68"/>
      <c r="E89" s="117"/>
      <c r="F89" s="117"/>
      <c r="G89" s="68"/>
      <c r="H89" s="107"/>
      <c r="I89" s="107"/>
      <c r="J89" s="107"/>
      <c r="K89" s="107"/>
      <c r="L89" s="124"/>
      <c r="M89" s="124"/>
      <c r="N89" s="124"/>
      <c r="O89" s="132"/>
      <c r="P89" s="124"/>
      <c r="Q89" s="124"/>
      <c r="R89" s="132"/>
      <c r="S89" s="124"/>
      <c r="T89" s="124"/>
      <c r="U89" s="132"/>
      <c r="V89" s="124"/>
      <c r="W89" s="124"/>
      <c r="X89" s="55"/>
      <c r="Y89" s="50"/>
      <c r="Z89" s="50"/>
      <c r="AA89" s="50"/>
      <c r="AB89" s="50"/>
      <c r="AC89" s="50"/>
      <c r="AD89" s="50"/>
    </row>
    <row r="90" spans="1:30" ht="11.25" customHeight="1">
      <c r="A90" s="55"/>
      <c r="B90" s="42"/>
      <c r="C90" s="72" t="s">
        <v>7</v>
      </c>
      <c r="D90" s="61"/>
      <c r="E90" s="113"/>
      <c r="F90" s="113"/>
      <c r="G90" s="61"/>
      <c r="H90" s="90"/>
      <c r="I90" s="90"/>
      <c r="J90" s="90"/>
      <c r="K90" s="90"/>
      <c r="L90" s="124"/>
      <c r="M90" s="124"/>
      <c r="N90" s="124"/>
      <c r="O90" s="132"/>
      <c r="P90" s="124"/>
      <c r="Q90" s="124"/>
      <c r="R90" s="132"/>
      <c r="S90" s="124"/>
      <c r="T90" s="124"/>
      <c r="U90" s="132"/>
      <c r="V90" s="124"/>
      <c r="W90" s="124"/>
      <c r="X90" s="55"/>
      <c r="Y90" s="50"/>
      <c r="Z90" s="50"/>
      <c r="AA90" s="50"/>
      <c r="AB90" s="50"/>
      <c r="AC90" s="50"/>
      <c r="AD90" s="50"/>
    </row>
    <row r="91" spans="1:30" ht="22.5" customHeight="1">
      <c r="A91" s="55"/>
      <c r="B91" s="42"/>
      <c r="C91" s="72" t="s">
        <v>281</v>
      </c>
      <c r="D91" s="68" t="s">
        <v>19</v>
      </c>
      <c r="E91" s="117" t="s">
        <v>19</v>
      </c>
      <c r="F91" s="117" t="s">
        <v>19</v>
      </c>
      <c r="G91" s="68" t="s">
        <v>19</v>
      </c>
      <c r="H91" s="107" t="s">
        <v>19</v>
      </c>
      <c r="I91" s="107" t="s">
        <v>19</v>
      </c>
      <c r="J91" s="107" t="s">
        <v>19</v>
      </c>
      <c r="K91" s="107" t="s">
        <v>19</v>
      </c>
      <c r="L91" s="124">
        <f>L95</f>
        <v>38266.1</v>
      </c>
      <c r="M91" s="124">
        <f aca="true" t="shared" si="7" ref="M91:V91">M95</f>
        <v>37974.5</v>
      </c>
      <c r="N91" s="124">
        <f t="shared" si="7"/>
        <v>43371.1</v>
      </c>
      <c r="O91" s="132">
        <f t="shared" si="7"/>
        <v>37417.5</v>
      </c>
      <c r="P91" s="124">
        <f t="shared" si="7"/>
        <v>37417.5</v>
      </c>
      <c r="Q91" s="124">
        <f t="shared" si="7"/>
        <v>0</v>
      </c>
      <c r="R91" s="132">
        <f t="shared" si="7"/>
        <v>27671.1</v>
      </c>
      <c r="S91" s="124">
        <f t="shared" si="7"/>
        <v>27671.1</v>
      </c>
      <c r="T91" s="124">
        <f t="shared" si="7"/>
        <v>0</v>
      </c>
      <c r="U91" s="132">
        <f t="shared" si="7"/>
        <v>25608</v>
      </c>
      <c r="V91" s="124">
        <f t="shared" si="7"/>
        <v>25608</v>
      </c>
      <c r="W91" s="124">
        <f>W95</f>
        <v>0</v>
      </c>
      <c r="X91" s="55"/>
      <c r="Y91" s="50"/>
      <c r="Z91" s="50"/>
      <c r="AA91" s="50"/>
      <c r="AB91" s="50"/>
      <c r="AC91" s="50"/>
      <c r="AD91" s="50"/>
    </row>
    <row r="92" spans="1:30" ht="103.5" customHeight="1">
      <c r="A92" s="55"/>
      <c r="B92" s="42"/>
      <c r="C92" s="72" t="s">
        <v>282</v>
      </c>
      <c r="D92" s="68" t="s">
        <v>19</v>
      </c>
      <c r="E92" s="117" t="s">
        <v>19</v>
      </c>
      <c r="F92" s="117" t="s">
        <v>19</v>
      </c>
      <c r="G92" s="68" t="s">
        <v>19</v>
      </c>
      <c r="H92" s="107" t="s">
        <v>19</v>
      </c>
      <c r="I92" s="107" t="s">
        <v>19</v>
      </c>
      <c r="J92" s="107" t="s">
        <v>19</v>
      </c>
      <c r="K92" s="107" t="s">
        <v>19</v>
      </c>
      <c r="L92" s="124"/>
      <c r="M92" s="124"/>
      <c r="N92" s="124"/>
      <c r="O92" s="132"/>
      <c r="P92" s="124"/>
      <c r="Q92" s="124"/>
      <c r="R92" s="132"/>
      <c r="S92" s="124"/>
      <c r="T92" s="124"/>
      <c r="U92" s="132"/>
      <c r="V92" s="124"/>
      <c r="W92" s="124"/>
      <c r="X92" s="55"/>
      <c r="Y92" s="50"/>
      <c r="Z92" s="50"/>
      <c r="AA92" s="50"/>
      <c r="AB92" s="50"/>
      <c r="AC92" s="50"/>
      <c r="AD92" s="50"/>
    </row>
    <row r="93" spans="1:30" ht="15" customHeight="1">
      <c r="A93" s="55"/>
      <c r="B93" s="42"/>
      <c r="C93" s="72" t="s">
        <v>280</v>
      </c>
      <c r="D93" s="61"/>
      <c r="E93" s="113"/>
      <c r="F93" s="113"/>
      <c r="G93" s="61"/>
      <c r="H93" s="90"/>
      <c r="I93" s="90"/>
      <c r="J93" s="90"/>
      <c r="K93" s="90"/>
      <c r="L93" s="124"/>
      <c r="M93" s="124"/>
      <c r="N93" s="124"/>
      <c r="O93" s="132"/>
      <c r="P93" s="124"/>
      <c r="Q93" s="124"/>
      <c r="R93" s="132"/>
      <c r="S93" s="124"/>
      <c r="T93" s="124"/>
      <c r="U93" s="132"/>
      <c r="V93" s="124"/>
      <c r="W93" s="124"/>
      <c r="X93" s="55"/>
      <c r="Y93" s="50"/>
      <c r="Z93" s="50"/>
      <c r="AA93" s="50"/>
      <c r="AB93" s="50"/>
      <c r="AC93" s="50"/>
      <c r="AD93" s="50"/>
    </row>
    <row r="94" spans="1:30" ht="15.75" customHeight="1">
      <c r="A94" s="55"/>
      <c r="B94" s="42"/>
      <c r="C94" s="72" t="s">
        <v>7</v>
      </c>
      <c r="D94" s="61"/>
      <c r="E94" s="113"/>
      <c r="F94" s="113"/>
      <c r="G94" s="61"/>
      <c r="H94" s="90"/>
      <c r="I94" s="90"/>
      <c r="J94" s="90"/>
      <c r="K94" s="90"/>
      <c r="L94" s="124"/>
      <c r="M94" s="124"/>
      <c r="N94" s="124"/>
      <c r="O94" s="132"/>
      <c r="P94" s="124"/>
      <c r="Q94" s="124"/>
      <c r="R94" s="132"/>
      <c r="S94" s="124"/>
      <c r="T94" s="124"/>
      <c r="U94" s="132"/>
      <c r="V94" s="124"/>
      <c r="W94" s="124"/>
      <c r="X94" s="55"/>
      <c r="Y94" s="50"/>
      <c r="Z94" s="50"/>
      <c r="AA94" s="50"/>
      <c r="AB94" s="50"/>
      <c r="AC94" s="50"/>
      <c r="AD94" s="50"/>
    </row>
    <row r="95" spans="1:30" ht="66" customHeight="1">
      <c r="A95" s="55"/>
      <c r="B95" s="42"/>
      <c r="C95" s="79" t="s">
        <v>275</v>
      </c>
      <c r="D95" s="58" t="s">
        <v>292</v>
      </c>
      <c r="E95" s="86" t="s">
        <v>295</v>
      </c>
      <c r="F95" s="86" t="s">
        <v>293</v>
      </c>
      <c r="G95" s="69"/>
      <c r="H95" s="108"/>
      <c r="I95" s="108"/>
      <c r="J95" s="109" t="s">
        <v>326</v>
      </c>
      <c r="K95" s="109" t="s">
        <v>327</v>
      </c>
      <c r="L95" s="128">
        <f>6958+31308.1</f>
        <v>38266.1</v>
      </c>
      <c r="M95" s="128">
        <f>6834.1+31140.4</f>
        <v>37974.5</v>
      </c>
      <c r="N95" s="128">
        <f>6291.9+37079.2</f>
        <v>43371.1</v>
      </c>
      <c r="O95" s="126">
        <f>P95+Q95</f>
        <v>37417.5</v>
      </c>
      <c r="P95" s="128">
        <f>3849.4+33568.1</f>
        <v>37417.5</v>
      </c>
      <c r="Q95" s="128"/>
      <c r="R95" s="126">
        <f>S95+T95</f>
        <v>27671.1</v>
      </c>
      <c r="S95" s="128">
        <f>3521.1+24150</f>
        <v>27671.1</v>
      </c>
      <c r="T95" s="128"/>
      <c r="U95" s="126">
        <f>V95+W95</f>
        <v>25608</v>
      </c>
      <c r="V95" s="128">
        <f>3521.1+22086.9</f>
        <v>25608</v>
      </c>
      <c r="W95" s="128"/>
      <c r="X95" s="55"/>
      <c r="Y95" s="50"/>
      <c r="Z95" s="50"/>
      <c r="AA95" s="50"/>
      <c r="AB95" s="50"/>
      <c r="AC95" s="50"/>
      <c r="AD95" s="50"/>
    </row>
    <row r="96" spans="2:23" ht="66.75" customHeight="1">
      <c r="B96" s="42"/>
      <c r="C96" s="77" t="s">
        <v>18</v>
      </c>
      <c r="D96" s="53"/>
      <c r="E96" s="118"/>
      <c r="F96" s="118"/>
      <c r="G96" s="53"/>
      <c r="H96" s="39"/>
      <c r="I96" s="39"/>
      <c r="J96" s="110"/>
      <c r="K96" s="110"/>
      <c r="L96" s="129">
        <f>L47+L34+L9+L85</f>
        <v>485925</v>
      </c>
      <c r="M96" s="129">
        <f>M47+M34+M9+M85</f>
        <v>434644.6000000001</v>
      </c>
      <c r="N96" s="129">
        <f>N47+N34+N9+N85</f>
        <v>523469.89999999997</v>
      </c>
      <c r="O96" s="134">
        <f>O47+O34+O9+O85</f>
        <v>601054</v>
      </c>
      <c r="P96" s="129">
        <f>P47+P34+P9+P85</f>
        <v>600996.1</v>
      </c>
      <c r="Q96" s="129">
        <f>Q47+Q34+Q9</f>
        <v>57.9</v>
      </c>
      <c r="R96" s="134">
        <f>R47+R34+R9+R85</f>
        <v>406076.99999999994</v>
      </c>
      <c r="S96" s="129">
        <f>S47+S34+S9+S85</f>
        <v>406076.99999999994</v>
      </c>
      <c r="T96" s="129">
        <f>T47+T34+T9</f>
        <v>0</v>
      </c>
      <c r="U96" s="134">
        <f>U47+U34+U9+U85</f>
        <v>454109.7</v>
      </c>
      <c r="V96" s="129">
        <f>V47+V34+V9+V85</f>
        <v>454109.7</v>
      </c>
      <c r="W96" s="129">
        <f>W47+W34+W9</f>
        <v>0</v>
      </c>
    </row>
    <row r="97" spans="3:17" ht="12.75">
      <c r="C97" s="80"/>
      <c r="D97" s="54"/>
      <c r="E97" s="119"/>
      <c r="F97" s="119"/>
      <c r="G97" s="54"/>
      <c r="H97" s="40"/>
      <c r="I97" s="40"/>
      <c r="J97" s="43"/>
      <c r="K97" s="43"/>
      <c r="L97" s="54"/>
      <c r="M97" s="54"/>
      <c r="N97" s="54"/>
      <c r="O97" s="135"/>
      <c r="P97" s="54"/>
      <c r="Q97" s="54"/>
    </row>
    <row r="98" spans="3:17" ht="12.75">
      <c r="C98" s="80"/>
      <c r="D98" s="54"/>
      <c r="E98" s="119"/>
      <c r="F98" s="119"/>
      <c r="G98" s="54"/>
      <c r="H98" s="40"/>
      <c r="I98" s="40"/>
      <c r="J98" s="43"/>
      <c r="K98" s="43"/>
      <c r="L98" s="54"/>
      <c r="M98" s="54"/>
      <c r="N98" s="54"/>
      <c r="O98" s="135"/>
      <c r="P98" s="54"/>
      <c r="Q98" s="54"/>
    </row>
    <row r="99" spans="3:17" ht="12.75">
      <c r="C99" s="80"/>
      <c r="D99" s="54"/>
      <c r="E99" s="119"/>
      <c r="F99" s="119"/>
      <c r="G99" s="54"/>
      <c r="H99" s="40"/>
      <c r="I99" s="40"/>
      <c r="J99" s="43"/>
      <c r="K99" s="43"/>
      <c r="L99" s="54"/>
      <c r="M99" s="54"/>
      <c r="N99" s="54"/>
      <c r="O99" s="135"/>
      <c r="P99" s="54"/>
      <c r="Q99" s="54"/>
    </row>
    <row r="100" spans="3:17" ht="12.75">
      <c r="C100" s="80"/>
      <c r="D100" s="153"/>
      <c r="E100" s="154"/>
      <c r="F100" s="154"/>
      <c r="G100" s="54"/>
      <c r="H100" s="40"/>
      <c r="I100" s="40"/>
      <c r="J100" s="43"/>
      <c r="K100" s="43"/>
      <c r="L100" s="54"/>
      <c r="M100" s="54"/>
      <c r="N100" s="54"/>
      <c r="O100" s="135"/>
      <c r="P100" s="54"/>
      <c r="Q100" s="54"/>
    </row>
    <row r="101" spans="3:17" ht="12.75">
      <c r="C101" s="80"/>
      <c r="D101" s="54"/>
      <c r="E101" s="119"/>
      <c r="F101" s="119"/>
      <c r="G101" s="54"/>
      <c r="H101" s="40"/>
      <c r="I101" s="40"/>
      <c r="J101" s="43"/>
      <c r="K101" s="43"/>
      <c r="L101" s="54"/>
      <c r="M101" s="54"/>
      <c r="N101" s="54"/>
      <c r="O101" s="135"/>
      <c r="P101" s="54"/>
      <c r="Q101" s="54"/>
    </row>
    <row r="102" spans="3:17" ht="12.75">
      <c r="C102" s="80"/>
      <c r="D102" s="54"/>
      <c r="E102" s="119"/>
      <c r="F102" s="119"/>
      <c r="G102" s="54"/>
      <c r="H102" s="40"/>
      <c r="I102" s="40"/>
      <c r="J102" s="43"/>
      <c r="K102" s="43"/>
      <c r="L102" s="54"/>
      <c r="M102" s="54"/>
      <c r="N102" s="54"/>
      <c r="O102" s="135"/>
      <c r="P102" s="54"/>
      <c r="Q102" s="54"/>
    </row>
    <row r="103" spans="3:17" ht="12.75">
      <c r="C103" s="80"/>
      <c r="D103" s="54"/>
      <c r="E103" s="119"/>
      <c r="F103" s="119"/>
      <c r="G103" s="54"/>
      <c r="H103" s="40"/>
      <c r="I103" s="40"/>
      <c r="J103" s="43"/>
      <c r="K103" s="43"/>
      <c r="L103" s="54"/>
      <c r="M103" s="54"/>
      <c r="N103" s="54"/>
      <c r="O103" s="135"/>
      <c r="P103" s="54"/>
      <c r="Q103" s="54"/>
    </row>
    <row r="104" spans="3:17" ht="12.75">
      <c r="C104" s="80"/>
      <c r="D104" s="54"/>
      <c r="E104" s="119"/>
      <c r="F104" s="119"/>
      <c r="G104" s="54"/>
      <c r="H104" s="40"/>
      <c r="I104" s="40"/>
      <c r="J104" s="43"/>
      <c r="K104" s="43"/>
      <c r="L104" s="54"/>
      <c r="M104" s="54"/>
      <c r="N104" s="54"/>
      <c r="O104" s="135"/>
      <c r="P104" s="54"/>
      <c r="Q104" s="54"/>
    </row>
  </sheetData>
  <sheetProtection/>
  <mergeCells count="80">
    <mergeCell ref="B9:B10"/>
    <mergeCell ref="E47:E48"/>
    <mergeCell ref="J5:K6"/>
    <mergeCell ref="G9:G10"/>
    <mergeCell ref="H9:H10"/>
    <mergeCell ref="K47:K48"/>
    <mergeCell ref="I47:I48"/>
    <mergeCell ref="J47:J48"/>
    <mergeCell ref="I9:I10"/>
    <mergeCell ref="K9:K10"/>
    <mergeCell ref="D47:D48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L25:L26"/>
    <mergeCell ref="B47:B48"/>
    <mergeCell ref="D9:D10"/>
    <mergeCell ref="E9:E10"/>
    <mergeCell ref="J9:J10"/>
    <mergeCell ref="G47:G48"/>
    <mergeCell ref="H47:H48"/>
    <mergeCell ref="F47:F48"/>
    <mergeCell ref="C47:C48"/>
    <mergeCell ref="C9:C10"/>
    <mergeCell ref="L6:M6"/>
    <mergeCell ref="L9:L10"/>
    <mergeCell ref="S47:S48"/>
    <mergeCell ref="N47:N48"/>
    <mergeCell ref="P9:P10"/>
    <mergeCell ref="L47:L48"/>
    <mergeCell ref="M47:M48"/>
    <mergeCell ref="O47:O48"/>
    <mergeCell ref="R47:R48"/>
    <mergeCell ref="O9:O10"/>
    <mergeCell ref="U9:U10"/>
    <mergeCell ref="H3:L3"/>
    <mergeCell ref="V9:V10"/>
    <mergeCell ref="V47:V48"/>
    <mergeCell ref="M9:M10"/>
    <mergeCell ref="N9:N10"/>
    <mergeCell ref="U6:W6"/>
    <mergeCell ref="W47:W48"/>
    <mergeCell ref="N6:N7"/>
    <mergeCell ref="G6:I6"/>
    <mergeCell ref="K25:K26"/>
    <mergeCell ref="D100:F100"/>
    <mergeCell ref="W9:W10"/>
    <mergeCell ref="S9:S10"/>
    <mergeCell ref="T47:T48"/>
    <mergeCell ref="Q47:Q48"/>
    <mergeCell ref="Q9:Q10"/>
    <mergeCell ref="P47:P48"/>
    <mergeCell ref="U47:U48"/>
    <mergeCell ref="R9:R10"/>
    <mergeCell ref="R25:R26"/>
    <mergeCell ref="V4:W4"/>
    <mergeCell ref="C25:C26"/>
    <mergeCell ref="D25:D26"/>
    <mergeCell ref="E25:E26"/>
    <mergeCell ref="F25:F26"/>
    <mergeCell ref="G25:G26"/>
    <mergeCell ref="H25:H26"/>
    <mergeCell ref="I25:I26"/>
    <mergeCell ref="J25:J26"/>
    <mergeCell ref="S25:S26"/>
    <mergeCell ref="T25:T26"/>
    <mergeCell ref="U25:U26"/>
    <mergeCell ref="V25:V26"/>
    <mergeCell ref="W25:W26"/>
    <mergeCell ref="M25:M26"/>
    <mergeCell ref="N25:N26"/>
    <mergeCell ref="O25:O26"/>
    <mergeCell ref="P25:P26"/>
    <mergeCell ref="Q25:Q26"/>
  </mergeCells>
  <printOptions horizontalCentered="1"/>
  <pageMargins left="0.2362204724409449" right="0.2362204724409449" top="0" bottom="0.15748031496062992" header="0" footer="0.15748031496062992"/>
  <pageSetup firstPageNumber="21" useFirstPageNumber="1" fitToHeight="9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00390625" style="13" customWidth="1"/>
    <col min="2" max="2" width="13.25390625" style="13" customWidth="1"/>
    <col min="3" max="3" width="15.125" style="5" customWidth="1"/>
    <col min="4" max="4" width="13.625" style="5" customWidth="1"/>
    <col min="5" max="5" width="9.625" style="5" bestFit="1" customWidth="1"/>
    <col min="6" max="7" width="37.75390625" style="5" customWidth="1"/>
    <col min="8" max="8" width="7.75390625" style="5" customWidth="1"/>
    <col min="9" max="16384" width="9.125" style="5" customWidth="1"/>
  </cols>
  <sheetData>
    <row r="1" spans="1:8" ht="12.75">
      <c r="A1" s="2"/>
      <c r="B1" s="2"/>
      <c r="C1" s="176" t="s">
        <v>52</v>
      </c>
      <c r="D1" s="176"/>
      <c r="E1" s="176"/>
      <c r="F1" s="3"/>
      <c r="G1" s="3"/>
      <c r="H1" s="4"/>
    </row>
    <row r="2" spans="1:8" ht="12.75">
      <c r="A2" s="2"/>
      <c r="B2" s="177">
        <v>2015</v>
      </c>
      <c r="C2" s="178"/>
      <c r="D2" s="15">
        <v>2016</v>
      </c>
      <c r="E2" s="6"/>
      <c r="F2" s="6"/>
      <c r="G2" s="6"/>
      <c r="H2" s="4"/>
    </row>
    <row r="3" spans="1:8" ht="12.75">
      <c r="A3" s="2"/>
      <c r="B3" s="15" t="s">
        <v>88</v>
      </c>
      <c r="C3" s="14" t="s">
        <v>89</v>
      </c>
      <c r="D3" s="6"/>
      <c r="E3" s="6"/>
      <c r="F3" s="6"/>
      <c r="G3" s="6"/>
      <c r="H3" s="4"/>
    </row>
    <row r="4" spans="1:8" ht="12.75">
      <c r="A4" s="23" t="s">
        <v>96</v>
      </c>
      <c r="B4" s="28">
        <f>9228864.5-933484.6</f>
        <v>8295379.9</v>
      </c>
      <c r="C4" s="28">
        <f>9166497.19-797954.49</f>
        <v>8368542.699999999</v>
      </c>
      <c r="D4" s="16">
        <f>9159400-897730.27</f>
        <v>8261669.73</v>
      </c>
      <c r="E4" s="6"/>
      <c r="F4" s="6"/>
      <c r="G4" s="6"/>
      <c r="H4" s="4"/>
    </row>
    <row r="5" spans="1:8" ht="12.75">
      <c r="A5" s="23" t="s">
        <v>97</v>
      </c>
      <c r="B5" s="28">
        <v>933484.6</v>
      </c>
      <c r="C5" s="28">
        <v>797954.49</v>
      </c>
      <c r="D5" s="16">
        <v>897730.27</v>
      </c>
      <c r="E5" s="6"/>
      <c r="F5" s="6"/>
      <c r="G5" s="6"/>
      <c r="H5" s="4"/>
    </row>
    <row r="6" spans="1:8" ht="12.75">
      <c r="A6" s="23" t="s">
        <v>106</v>
      </c>
      <c r="B6" s="28">
        <f>207936.56+76255+4217123.33+166000+99000+167600</f>
        <v>4933914.89</v>
      </c>
      <c r="C6" s="28">
        <f>207936.56+76255+4190000+165982.13+99000+167600</f>
        <v>4906773.6899999995</v>
      </c>
      <c r="D6" s="16">
        <f>215000+15000+217000+79200</f>
        <v>526200</v>
      </c>
      <c r="E6" s="6"/>
      <c r="F6" s="6"/>
      <c r="G6" s="6"/>
      <c r="H6" s="4"/>
    </row>
    <row r="7" spans="1:8" ht="12.75">
      <c r="A7" s="23" t="s">
        <v>158</v>
      </c>
      <c r="B7" s="28">
        <f>982815.97+1738200</f>
        <v>2721015.9699999997</v>
      </c>
      <c r="C7" s="28">
        <f>982815.97+690000</f>
        <v>1672815.97</v>
      </c>
      <c r="D7" s="16">
        <v>315000</v>
      </c>
      <c r="E7" s="6"/>
      <c r="F7" s="6"/>
      <c r="G7" s="6"/>
      <c r="H7" s="4"/>
    </row>
    <row r="8" spans="1:8" ht="12.75">
      <c r="A8" s="23" t="s">
        <v>107</v>
      </c>
      <c r="B8" s="28">
        <v>64000</v>
      </c>
      <c r="C8" s="28">
        <v>64000</v>
      </c>
      <c r="D8" s="16">
        <v>0</v>
      </c>
      <c r="E8" s="6"/>
      <c r="F8" s="6"/>
      <c r="G8" s="6"/>
      <c r="H8" s="4"/>
    </row>
    <row r="9" spans="1:8" ht="12.75">
      <c r="A9" s="23" t="s">
        <v>139</v>
      </c>
      <c r="B9" s="28">
        <v>3918000</v>
      </c>
      <c r="C9" s="28">
        <v>3918000</v>
      </c>
      <c r="D9" s="16">
        <v>2846000</v>
      </c>
      <c r="E9" s="6"/>
      <c r="F9" s="6"/>
      <c r="G9" s="6"/>
      <c r="H9" s="4"/>
    </row>
    <row r="10" spans="1:8" ht="12.75">
      <c r="A10" s="23" t="s">
        <v>161</v>
      </c>
      <c r="B10" s="28">
        <v>1000</v>
      </c>
      <c r="C10" s="28">
        <v>1000</v>
      </c>
      <c r="D10" s="16">
        <v>1000</v>
      </c>
      <c r="E10" s="6"/>
      <c r="F10" s="6"/>
      <c r="G10" s="6"/>
      <c r="H10" s="4"/>
    </row>
    <row r="11" spans="1:8" ht="12.75">
      <c r="A11" s="23" t="s">
        <v>98</v>
      </c>
      <c r="B11" s="28">
        <f>7223718.63+670400</f>
        <v>7894118.63</v>
      </c>
      <c r="C11" s="28">
        <v>670400</v>
      </c>
      <c r="D11" s="16">
        <f>6931700+30000</f>
        <v>6961700</v>
      </c>
      <c r="E11" s="6"/>
      <c r="F11" s="6"/>
      <c r="G11" s="6"/>
      <c r="H11" s="4"/>
    </row>
    <row r="12" spans="1:8" ht="12.75">
      <c r="A12" s="23" t="s">
        <v>151</v>
      </c>
      <c r="B12" s="28">
        <v>25000</v>
      </c>
      <c r="C12" s="28">
        <v>25000</v>
      </c>
      <c r="D12" s="16">
        <v>22500</v>
      </c>
      <c r="E12" s="6"/>
      <c r="F12" s="6"/>
      <c r="G12" s="6"/>
      <c r="H12" s="4"/>
    </row>
    <row r="13" spans="1:8" ht="12.75">
      <c r="A13" s="23" t="s">
        <v>112</v>
      </c>
      <c r="B13" s="28">
        <f>36499.11+2102271.38+99000+319250+40000+288569.88+430580+5000+834820+3999.26+2357508+20984+483871+1129032+1998.63+128450+30000+183998.4+641468.4+188280.8+100000+65000+371000+14000+4000+37000</f>
        <v>9916580.86</v>
      </c>
      <c r="C13" s="28">
        <f>36499.11+2102271.38+99000+319250+40000+288569.88+430580+5000+834820+3999.26+2357508+20984+483600+1128400+1998.63+128450+30000+183998.4+641468.4+188280.8+100000+65000+371000+14000+4000+37000</f>
        <v>9915677.86</v>
      </c>
      <c r="D13" s="16">
        <f>36900+213000+95100+6000+5000+4000+353500+1776000+140100+6000+570900+223000+64000+2000+19000+4000+37000</f>
        <v>3555500</v>
      </c>
      <c r="E13" s="6"/>
      <c r="F13" s="6"/>
      <c r="G13" s="6"/>
      <c r="H13" s="4"/>
    </row>
    <row r="14" spans="1:8" ht="12.75">
      <c r="A14" s="23" t="s">
        <v>141</v>
      </c>
      <c r="B14" s="28">
        <f>12600+845000</f>
        <v>857600</v>
      </c>
      <c r="C14" s="28">
        <f>12600+845000</f>
        <v>857600</v>
      </c>
      <c r="D14" s="16">
        <f>7200+761000</f>
        <v>768200</v>
      </c>
      <c r="E14" s="6"/>
      <c r="F14" s="6"/>
      <c r="G14" s="6"/>
      <c r="H14" s="4"/>
    </row>
    <row r="15" spans="1:8" ht="12.75">
      <c r="A15" s="23" t="s">
        <v>165</v>
      </c>
      <c r="B15" s="28">
        <f>3915800+4000+4313350+44700</f>
        <v>8277850</v>
      </c>
      <c r="C15" s="28">
        <f>3915800+4000+4313350+44700</f>
        <v>8277850</v>
      </c>
      <c r="D15" s="16">
        <v>8069000</v>
      </c>
      <c r="E15" s="6"/>
      <c r="F15" s="6"/>
      <c r="G15" s="6"/>
      <c r="H15" s="4"/>
    </row>
    <row r="16" spans="1:8" ht="12.75">
      <c r="A16" s="23" t="s">
        <v>99</v>
      </c>
      <c r="B16" s="28">
        <f>10000+60401+11683500+8557250+100200+82735.2+590555+275000+64000</f>
        <v>21423641.2</v>
      </c>
      <c r="C16" s="28">
        <f>10000+54556.4+11683348+8557250+100200+82735.2+590555+237000+64000</f>
        <v>21379644.599999998</v>
      </c>
      <c r="D16" s="16">
        <f>10000+49000+18535100+100200+575100+193000+75000</f>
        <v>19537400</v>
      </c>
      <c r="E16" s="6"/>
      <c r="F16" s="6"/>
      <c r="G16" s="6"/>
      <c r="H16" s="4"/>
    </row>
    <row r="17" spans="1:8" ht="12.75">
      <c r="A17" s="23" t="s">
        <v>113</v>
      </c>
      <c r="B17" s="28">
        <f>200000+6077.52+400000</f>
        <v>606077.52</v>
      </c>
      <c r="C17" s="28">
        <f>200000+6077.52+400000</f>
        <v>606077.52</v>
      </c>
      <c r="D17" s="16">
        <f>100000+250000</f>
        <v>350000</v>
      </c>
      <c r="E17" s="6"/>
      <c r="F17" s="6"/>
      <c r="G17" s="6"/>
      <c r="H17" s="4"/>
    </row>
    <row r="18" spans="1:8" ht="12.75">
      <c r="A18" s="23" t="s">
        <v>178</v>
      </c>
      <c r="B18" s="28">
        <f>154166.56+718233.44</f>
        <v>872400</v>
      </c>
      <c r="C18" s="28">
        <f>154166.56+718233.44</f>
        <v>872400</v>
      </c>
      <c r="D18" s="16">
        <f>459700+263600</f>
        <v>723300</v>
      </c>
      <c r="E18" s="6"/>
      <c r="F18" s="6"/>
      <c r="G18" s="6"/>
      <c r="H18" s="4"/>
    </row>
    <row r="19" spans="1:8" ht="12.75">
      <c r="A19" s="23" t="s">
        <v>166</v>
      </c>
      <c r="B19" s="28">
        <f>15000+498045</f>
        <v>513045</v>
      </c>
      <c r="C19" s="28">
        <f>15000+42269.64</f>
        <v>57269.64</v>
      </c>
      <c r="D19" s="16">
        <f>13500+276400+6000</f>
        <v>295900</v>
      </c>
      <c r="E19" s="6"/>
      <c r="F19" s="6"/>
      <c r="G19" s="6"/>
      <c r="H19" s="4"/>
    </row>
    <row r="20" spans="1:8" ht="12.75">
      <c r="A20" s="23" t="s">
        <v>140</v>
      </c>
      <c r="B20" s="28">
        <v>0</v>
      </c>
      <c r="C20" s="28">
        <v>0</v>
      </c>
      <c r="D20" s="16">
        <v>0</v>
      </c>
      <c r="E20" s="6"/>
      <c r="F20" s="6"/>
      <c r="G20" s="6"/>
      <c r="H20" s="4"/>
    </row>
    <row r="21" spans="1:9" s="35" customFormat="1" ht="19.5" customHeight="1">
      <c r="A21" s="29" t="s">
        <v>92</v>
      </c>
      <c r="B21" s="30">
        <f>20361027.84+64795.07+199029.66+1174699+2106480+6000+466255+2959554.53</f>
        <v>27337841.1</v>
      </c>
      <c r="C21" s="31">
        <f>19890295.72+64793.07+199016.96+1174699+2016527.8+6000+465904.73+2959554.53</f>
        <v>26776791.810000002</v>
      </c>
      <c r="D21" s="31">
        <f>19993200+20800+145100+1373100+2157000+5400+684800+2088000</f>
        <v>26467400</v>
      </c>
      <c r="E21" s="32"/>
      <c r="F21" s="33"/>
      <c r="G21" s="33"/>
      <c r="H21" s="34" t="s">
        <v>53</v>
      </c>
      <c r="I21" s="35" t="s">
        <v>90</v>
      </c>
    </row>
    <row r="22" spans="1:8" ht="15.75" customHeight="1">
      <c r="A22" s="17" t="s">
        <v>100</v>
      </c>
      <c r="B22" s="18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19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19">
        <f>24200+3749900+286600+40400+2639900+2304400+1465900+12745800+280000+254000+10937200+2636000+219900+11635000+237100+1006300+62200+1050500+13058200+47300+5400+5400+6841100+633900+280000+27645000+1501000</f>
        <v>101592600</v>
      </c>
      <c r="E22" s="20"/>
      <c r="F22" s="21"/>
      <c r="G22" s="21"/>
      <c r="H22" s="1"/>
    </row>
    <row r="23" spans="1:8" ht="21.75" customHeight="1">
      <c r="A23" s="17" t="s">
        <v>144</v>
      </c>
      <c r="B23" s="18">
        <v>12310639.07</v>
      </c>
      <c r="C23" s="19">
        <v>12310639.07</v>
      </c>
      <c r="D23" s="19">
        <v>0</v>
      </c>
      <c r="E23" s="20"/>
      <c r="F23" s="21"/>
      <c r="G23" s="21"/>
      <c r="H23" s="1"/>
    </row>
    <row r="24" spans="1:8" ht="21.75" customHeight="1">
      <c r="A24" s="17" t="s">
        <v>184</v>
      </c>
      <c r="B24" s="18">
        <v>2145120</v>
      </c>
      <c r="C24" s="19">
        <v>2145120</v>
      </c>
      <c r="D24" s="19">
        <v>1997000</v>
      </c>
      <c r="E24" s="20"/>
      <c r="F24" s="21"/>
      <c r="G24" s="21"/>
      <c r="H24" s="1"/>
    </row>
    <row r="25" spans="1:8" ht="39.75" customHeight="1">
      <c r="A25" s="17" t="s">
        <v>93</v>
      </c>
      <c r="B25" s="18"/>
      <c r="C25" s="19"/>
      <c r="D25" s="19"/>
      <c r="E25" s="20"/>
      <c r="F25" s="21"/>
      <c r="G25" s="21"/>
      <c r="H25" s="1"/>
    </row>
    <row r="26" spans="1:8" ht="15.75" customHeight="1">
      <c r="A26" s="17" t="s">
        <v>152</v>
      </c>
      <c r="B26" s="18">
        <v>32961.2</v>
      </c>
      <c r="C26" s="19">
        <v>32961.2</v>
      </c>
      <c r="D26" s="19">
        <v>32114.7</v>
      </c>
      <c r="E26" s="20"/>
      <c r="F26" s="21"/>
      <c r="G26" s="21"/>
      <c r="H26" s="1"/>
    </row>
    <row r="27" spans="1:9" ht="15" customHeight="1">
      <c r="A27" s="17" t="s">
        <v>94</v>
      </c>
      <c r="B27" s="18">
        <f>368300</f>
        <v>368300</v>
      </c>
      <c r="C27" s="25">
        <f>368300</f>
        <v>368300</v>
      </c>
      <c r="D27" s="19">
        <v>361000</v>
      </c>
      <c r="E27" s="20"/>
      <c r="F27" s="22"/>
      <c r="G27" s="22"/>
      <c r="H27" s="1" t="s">
        <v>54</v>
      </c>
      <c r="I27" s="5" t="s">
        <v>91</v>
      </c>
    </row>
    <row r="28" spans="1:8" ht="20.25" customHeight="1">
      <c r="A28" s="17" t="s">
        <v>114</v>
      </c>
      <c r="B28" s="18">
        <v>572385.85</v>
      </c>
      <c r="C28" s="25">
        <v>572385.85</v>
      </c>
      <c r="D28" s="19">
        <v>3822600</v>
      </c>
      <c r="E28" s="20"/>
      <c r="F28" s="22"/>
      <c r="G28" s="22"/>
      <c r="H28" s="1"/>
    </row>
    <row r="29" spans="1:8" ht="15" customHeight="1">
      <c r="A29" s="17" t="s">
        <v>162</v>
      </c>
      <c r="B29" s="18">
        <v>423400</v>
      </c>
      <c r="C29" s="25">
        <v>401130</v>
      </c>
      <c r="D29" s="19">
        <v>395000</v>
      </c>
      <c r="E29" s="20"/>
      <c r="F29" s="22"/>
      <c r="G29" s="22"/>
      <c r="H29" s="1"/>
    </row>
    <row r="30" spans="1:8" ht="15" customHeight="1">
      <c r="A30" s="17" t="s">
        <v>163</v>
      </c>
      <c r="B30" s="18">
        <v>387000</v>
      </c>
      <c r="C30" s="25">
        <v>387000</v>
      </c>
      <c r="D30" s="19">
        <v>362000</v>
      </c>
      <c r="E30" s="20"/>
      <c r="F30" s="22"/>
      <c r="G30" s="22"/>
      <c r="H30" s="1"/>
    </row>
    <row r="31" spans="1:8" ht="15.75" customHeight="1">
      <c r="A31" s="17" t="s">
        <v>159</v>
      </c>
      <c r="B31" s="18">
        <v>65834000</v>
      </c>
      <c r="C31" s="25">
        <v>65834000</v>
      </c>
      <c r="D31" s="19">
        <v>69323800</v>
      </c>
      <c r="E31" s="20"/>
      <c r="F31" s="22"/>
      <c r="G31" s="22"/>
      <c r="H31" s="1"/>
    </row>
    <row r="32" spans="1:8" ht="15.75" customHeight="1">
      <c r="A32" s="17" t="s">
        <v>176</v>
      </c>
      <c r="B32" s="18">
        <v>1368900</v>
      </c>
      <c r="C32" s="25">
        <v>1366390.46</v>
      </c>
      <c r="D32" s="19">
        <v>1387200</v>
      </c>
      <c r="E32" s="20"/>
      <c r="F32" s="22"/>
      <c r="G32" s="22"/>
      <c r="H32" s="1"/>
    </row>
    <row r="33" spans="1:8" ht="14.25" customHeight="1">
      <c r="A33" s="17" t="s">
        <v>123</v>
      </c>
      <c r="B33" s="18">
        <v>327124</v>
      </c>
      <c r="C33" s="25">
        <v>327124</v>
      </c>
      <c r="D33" s="19">
        <v>619700</v>
      </c>
      <c r="E33" s="20"/>
      <c r="F33" s="22"/>
      <c r="G33" s="22"/>
      <c r="H33" s="1"/>
    </row>
    <row r="34" spans="1:8" ht="14.25" customHeight="1">
      <c r="A34" s="17" t="s">
        <v>124</v>
      </c>
      <c r="B34" s="18">
        <v>1370611</v>
      </c>
      <c r="C34" s="25">
        <v>1370611</v>
      </c>
      <c r="D34" s="19">
        <v>2653800</v>
      </c>
      <c r="E34" s="20"/>
      <c r="F34" s="22"/>
      <c r="G34" s="22"/>
      <c r="H34" s="1"/>
    </row>
    <row r="35" spans="1:8" ht="14.25" customHeight="1">
      <c r="A35" s="17" t="s">
        <v>128</v>
      </c>
      <c r="B35" s="18">
        <v>40500</v>
      </c>
      <c r="C35" s="25">
        <v>40500</v>
      </c>
      <c r="D35" s="19">
        <v>71600</v>
      </c>
      <c r="E35" s="20"/>
      <c r="F35" s="22"/>
      <c r="G35" s="22"/>
      <c r="H35" s="1"/>
    </row>
    <row r="36" spans="1:8" ht="14.25" customHeight="1">
      <c r="A36" s="17" t="s">
        <v>160</v>
      </c>
      <c r="B36" s="18">
        <v>198000</v>
      </c>
      <c r="C36" s="25">
        <v>57471.52</v>
      </c>
      <c r="D36" s="19">
        <v>213600</v>
      </c>
      <c r="E36" s="20"/>
      <c r="F36" s="22"/>
      <c r="G36" s="22"/>
      <c r="H36" s="1"/>
    </row>
    <row r="37" spans="1:8" ht="14.25" customHeight="1">
      <c r="A37" s="17" t="s">
        <v>125</v>
      </c>
      <c r="B37" s="18">
        <v>8725102</v>
      </c>
      <c r="C37" s="25">
        <v>8725102</v>
      </c>
      <c r="D37" s="19">
        <v>3409300</v>
      </c>
      <c r="E37" s="20"/>
      <c r="F37" s="22"/>
      <c r="G37" s="22"/>
      <c r="H37" s="1"/>
    </row>
    <row r="38" spans="1:8" ht="14.25" customHeight="1">
      <c r="A38" s="17" t="s">
        <v>131</v>
      </c>
      <c r="B38" s="18">
        <v>73000</v>
      </c>
      <c r="C38" s="25">
        <v>65144</v>
      </c>
      <c r="D38" s="19">
        <v>71200</v>
      </c>
      <c r="E38" s="20"/>
      <c r="F38" s="22"/>
      <c r="G38" s="22"/>
      <c r="H38" s="1"/>
    </row>
    <row r="39" spans="1:8" ht="14.25" customHeight="1">
      <c r="A39" s="17" t="s">
        <v>127</v>
      </c>
      <c r="B39" s="18">
        <v>59689</v>
      </c>
      <c r="C39" s="25">
        <v>59689</v>
      </c>
      <c r="D39" s="19">
        <v>285300</v>
      </c>
      <c r="E39" s="20"/>
      <c r="F39" s="22"/>
      <c r="G39" s="22"/>
      <c r="H39" s="1"/>
    </row>
    <row r="40" spans="1:8" ht="14.25" customHeight="1">
      <c r="A40" s="17" t="s">
        <v>129</v>
      </c>
      <c r="B40" s="18">
        <v>2783100</v>
      </c>
      <c r="C40" s="25">
        <v>2783100</v>
      </c>
      <c r="D40" s="19">
        <v>0</v>
      </c>
      <c r="E40" s="20"/>
      <c r="F40" s="22"/>
      <c r="G40" s="22"/>
      <c r="H40" s="1"/>
    </row>
    <row r="41" spans="1:8" ht="16.5" customHeight="1">
      <c r="A41" s="17" t="s">
        <v>122</v>
      </c>
      <c r="B41" s="18">
        <v>2940436</v>
      </c>
      <c r="C41" s="25">
        <v>2940436</v>
      </c>
      <c r="D41" s="19">
        <v>5523200</v>
      </c>
      <c r="E41" s="20"/>
      <c r="F41" s="22"/>
      <c r="G41" s="22"/>
      <c r="H41" s="1"/>
    </row>
    <row r="42" spans="1:8" ht="16.5" customHeight="1">
      <c r="A42" s="17" t="s">
        <v>177</v>
      </c>
      <c r="B42" s="18">
        <v>990000</v>
      </c>
      <c r="C42" s="25">
        <v>990000</v>
      </c>
      <c r="D42" s="19">
        <v>1177800</v>
      </c>
      <c r="E42" s="20"/>
      <c r="F42" s="22"/>
      <c r="G42" s="22"/>
      <c r="H42" s="1"/>
    </row>
    <row r="43" spans="1:8" ht="16.5" customHeight="1">
      <c r="A43" s="17" t="s">
        <v>126</v>
      </c>
      <c r="B43" s="18">
        <v>750000</v>
      </c>
      <c r="C43" s="25">
        <v>750000</v>
      </c>
      <c r="D43" s="19">
        <v>405200</v>
      </c>
      <c r="E43" s="20"/>
      <c r="F43" s="22"/>
      <c r="G43" s="22"/>
      <c r="H43" s="1"/>
    </row>
    <row r="44" spans="1:8" ht="16.5" customHeight="1">
      <c r="A44" s="17" t="s">
        <v>132</v>
      </c>
      <c r="B44" s="18">
        <v>1707500</v>
      </c>
      <c r="C44" s="25">
        <v>1707500</v>
      </c>
      <c r="D44" s="19">
        <v>4950000</v>
      </c>
      <c r="E44" s="20"/>
      <c r="F44" s="22"/>
      <c r="G44" s="22"/>
      <c r="H44" s="1"/>
    </row>
    <row r="45" spans="1:8" ht="16.5" customHeight="1">
      <c r="A45" s="17" t="s">
        <v>130</v>
      </c>
      <c r="B45" s="18">
        <v>1818500</v>
      </c>
      <c r="C45" s="25">
        <v>1818500</v>
      </c>
      <c r="D45" s="19">
        <v>1799200</v>
      </c>
      <c r="E45" s="20"/>
      <c r="F45" s="22"/>
      <c r="G45" s="22"/>
      <c r="H45" s="1"/>
    </row>
    <row r="46" spans="1:8" ht="17.25" customHeight="1">
      <c r="A46" s="17" t="s">
        <v>121</v>
      </c>
      <c r="B46" s="18">
        <v>9953000</v>
      </c>
      <c r="C46" s="25">
        <v>9953000</v>
      </c>
      <c r="D46" s="19">
        <v>0</v>
      </c>
      <c r="E46" s="20"/>
      <c r="F46" s="22"/>
      <c r="G46" s="22"/>
      <c r="H46" s="1"/>
    </row>
    <row r="47" spans="1:8" ht="15.75" customHeight="1">
      <c r="A47" s="17" t="s">
        <v>116</v>
      </c>
      <c r="B47" s="18">
        <v>1134083</v>
      </c>
      <c r="C47" s="25">
        <v>1134083</v>
      </c>
      <c r="D47" s="19">
        <v>3680800</v>
      </c>
      <c r="E47" s="20"/>
      <c r="F47" s="22"/>
      <c r="G47" s="22"/>
      <c r="H47" s="1"/>
    </row>
    <row r="48" spans="1:8" ht="15.75" customHeight="1">
      <c r="A48" s="17" t="s">
        <v>120</v>
      </c>
      <c r="B48" s="18">
        <v>12500000</v>
      </c>
      <c r="C48" s="25">
        <v>12500000</v>
      </c>
      <c r="D48" s="19">
        <v>0</v>
      </c>
      <c r="E48" s="20"/>
      <c r="F48" s="22"/>
      <c r="G48" s="22"/>
      <c r="H48" s="1"/>
    </row>
    <row r="49" spans="1:8" ht="16.5" customHeight="1">
      <c r="A49" s="17" t="s">
        <v>115</v>
      </c>
      <c r="B49" s="18">
        <v>698790</v>
      </c>
      <c r="C49" s="25">
        <v>698790</v>
      </c>
      <c r="D49" s="19">
        <v>143900</v>
      </c>
      <c r="E49" s="20"/>
      <c r="F49" s="22"/>
      <c r="G49" s="22"/>
      <c r="H49" s="1"/>
    </row>
    <row r="50" spans="1:8" ht="16.5" customHeight="1">
      <c r="A50" s="17" t="s">
        <v>118</v>
      </c>
      <c r="B50" s="18">
        <v>2761599</v>
      </c>
      <c r="C50" s="25">
        <v>2761599</v>
      </c>
      <c r="D50" s="19">
        <v>82500</v>
      </c>
      <c r="E50" s="20"/>
      <c r="F50" s="22"/>
      <c r="G50" s="22"/>
      <c r="H50" s="1"/>
    </row>
    <row r="51" spans="1:8" ht="16.5" customHeight="1">
      <c r="A51" s="17" t="s">
        <v>167</v>
      </c>
      <c r="B51" s="18">
        <v>700866</v>
      </c>
      <c r="C51" s="25">
        <v>700866</v>
      </c>
      <c r="D51" s="19">
        <v>0</v>
      </c>
      <c r="E51" s="20"/>
      <c r="F51" s="22"/>
      <c r="G51" s="22"/>
      <c r="H51" s="1"/>
    </row>
    <row r="52" spans="1:8" ht="16.5" customHeight="1">
      <c r="A52" s="17" t="s">
        <v>168</v>
      </c>
      <c r="B52" s="18">
        <v>2792304</v>
      </c>
      <c r="C52" s="25">
        <v>2792304</v>
      </c>
      <c r="D52" s="19">
        <v>1401700</v>
      </c>
      <c r="E52" s="20"/>
      <c r="F52" s="22"/>
      <c r="G52" s="22"/>
      <c r="H52" s="1"/>
    </row>
    <row r="53" spans="1:8" ht="12.75">
      <c r="A53" s="23" t="s">
        <v>95</v>
      </c>
      <c r="B53" s="19">
        <v>1704.26</v>
      </c>
      <c r="C53" s="19">
        <v>0</v>
      </c>
      <c r="D53" s="19">
        <v>2381.73</v>
      </c>
      <c r="E53" s="19"/>
      <c r="F53" s="26"/>
      <c r="G53" s="26"/>
      <c r="H53" s="4"/>
    </row>
    <row r="54" spans="1:8" ht="12.75">
      <c r="A54" s="23" t="s">
        <v>117</v>
      </c>
      <c r="B54" s="19">
        <v>8967825</v>
      </c>
      <c r="C54" s="19">
        <v>8967825</v>
      </c>
      <c r="D54" s="19">
        <v>6486000</v>
      </c>
      <c r="E54" s="19"/>
      <c r="F54" s="26"/>
      <c r="G54" s="26"/>
      <c r="H54" s="4"/>
    </row>
    <row r="55" spans="1:8" ht="12.75">
      <c r="A55" s="23" t="s">
        <v>119</v>
      </c>
      <c r="B55" s="19">
        <v>5883800</v>
      </c>
      <c r="C55" s="19">
        <v>5883800</v>
      </c>
      <c r="D55" s="19">
        <v>7289900</v>
      </c>
      <c r="E55" s="19"/>
      <c r="F55" s="26"/>
      <c r="G55" s="26"/>
      <c r="H55" s="4"/>
    </row>
    <row r="56" spans="1:9" ht="12.75">
      <c r="A56" s="23" t="s">
        <v>109</v>
      </c>
      <c r="B56" s="19"/>
      <c r="C56" s="19"/>
      <c r="D56" s="19"/>
      <c r="E56" s="19"/>
      <c r="F56" s="26"/>
      <c r="G56" s="26"/>
      <c r="H56" s="4"/>
      <c r="I56" s="9"/>
    </row>
    <row r="57" spans="1:9" ht="12.75">
      <c r="A57" s="23" t="s">
        <v>185</v>
      </c>
      <c r="B57" s="19">
        <v>5754400</v>
      </c>
      <c r="C57" s="19">
        <v>5754400</v>
      </c>
      <c r="D57" s="19">
        <v>5773900</v>
      </c>
      <c r="E57" s="19"/>
      <c r="F57" s="26"/>
      <c r="G57" s="26"/>
      <c r="H57" s="4"/>
      <c r="I57" s="9"/>
    </row>
    <row r="58" spans="1:8" ht="12.75">
      <c r="A58" s="23" t="s">
        <v>110</v>
      </c>
      <c r="B58" s="19">
        <v>273.2</v>
      </c>
      <c r="C58" s="19">
        <v>273.2</v>
      </c>
      <c r="D58" s="19">
        <v>314.5</v>
      </c>
      <c r="E58" s="19"/>
      <c r="F58" s="26"/>
      <c r="G58" s="26"/>
      <c r="H58" s="4"/>
    </row>
    <row r="59" spans="1:8" ht="12.75">
      <c r="A59" s="23" t="s">
        <v>111</v>
      </c>
      <c r="B59" s="19">
        <f>5187190+3784325+1750000+2399148.34+59000+50000+248711+478725+705375+3966500</f>
        <v>18628974.34</v>
      </c>
      <c r="C59" s="19">
        <f>5187190+3784325+1750000+2399148.34+59000+50000+248711+478725+705375+3966500</f>
        <v>18628974.34</v>
      </c>
      <c r="D59" s="19">
        <f>706800+560000+3000000+3308100+104400</f>
        <v>7679300</v>
      </c>
      <c r="E59" s="19"/>
      <c r="F59" s="26"/>
      <c r="G59" s="26"/>
      <c r="H59" s="4" t="s">
        <v>55</v>
      </c>
    </row>
    <row r="60" spans="1:8" ht="12.75">
      <c r="A60" s="23"/>
      <c r="B60" s="19"/>
      <c r="C60" s="19"/>
      <c r="D60" s="19"/>
      <c r="E60" s="19"/>
      <c r="F60" s="26"/>
      <c r="G60" s="26"/>
      <c r="H60" s="4" t="s">
        <v>56</v>
      </c>
    </row>
    <row r="61" spans="1:8" ht="12.75">
      <c r="A61" s="23"/>
      <c r="B61" s="19">
        <f>SUM(B4:B59)</f>
        <v>372124169.18999994</v>
      </c>
      <c r="C61" s="19">
        <f>SUM(C4:C59)</f>
        <v>362190089.58999985</v>
      </c>
      <c r="D61" s="19">
        <f>SUM(D4:D59)</f>
        <v>312592410.93</v>
      </c>
      <c r="E61" s="19"/>
      <c r="F61" s="26"/>
      <c r="G61" s="26"/>
      <c r="H61" s="4"/>
    </row>
    <row r="62" spans="1:8" ht="12.75">
      <c r="A62" s="23"/>
      <c r="B62" s="19"/>
      <c r="C62" s="19"/>
      <c r="D62" s="19"/>
      <c r="E62" s="19"/>
      <c r="F62" s="26"/>
      <c r="G62" s="26"/>
      <c r="H62" s="4"/>
    </row>
    <row r="63" spans="1:8" ht="12.75">
      <c r="A63" s="23"/>
      <c r="B63" s="19">
        <f>411125549.46-B61</f>
        <v>39001380.27000004</v>
      </c>
      <c r="C63" s="19">
        <f>399851298.8-C61</f>
        <v>37661209.21000016</v>
      </c>
      <c r="D63" s="19">
        <f>369107681.8-D61</f>
        <v>56515270.870000005</v>
      </c>
      <c r="E63" s="19"/>
      <c r="F63" s="26"/>
      <c r="G63" s="26"/>
      <c r="H63" s="4"/>
    </row>
    <row r="64" spans="1:8" ht="12.75">
      <c r="A64" s="23"/>
      <c r="B64" s="19"/>
      <c r="C64" s="19"/>
      <c r="D64" s="19"/>
      <c r="E64" s="19"/>
      <c r="F64" s="26"/>
      <c r="G64" s="26"/>
      <c r="H64" s="4"/>
    </row>
    <row r="65" spans="1:8" ht="12.75">
      <c r="A65" s="23"/>
      <c r="B65" s="19"/>
      <c r="C65" s="19"/>
      <c r="D65" s="19"/>
      <c r="E65" s="19"/>
      <c r="F65" s="26"/>
      <c r="G65" s="26"/>
      <c r="H65" s="4"/>
    </row>
    <row r="66" spans="1:12" ht="12.75">
      <c r="A66" s="23"/>
      <c r="B66" s="19"/>
      <c r="C66" s="19"/>
      <c r="D66" s="19"/>
      <c r="E66" s="19"/>
      <c r="F66" s="26"/>
      <c r="G66" s="26"/>
      <c r="H66" s="4"/>
      <c r="L66" s="24"/>
    </row>
    <row r="67" spans="1:8" ht="12.75">
      <c r="A67" s="23"/>
      <c r="B67" s="19"/>
      <c r="C67" s="19"/>
      <c r="D67" s="19"/>
      <c r="E67" s="19"/>
      <c r="F67" s="26"/>
      <c r="G67" s="26"/>
      <c r="H67" s="4"/>
    </row>
    <row r="68" spans="1:8" ht="12.75">
      <c r="A68" s="23"/>
      <c r="B68" s="19"/>
      <c r="C68" s="19"/>
      <c r="D68" s="19"/>
      <c r="E68" s="19"/>
      <c r="F68" s="26"/>
      <c r="G68" s="26"/>
      <c r="H68" s="4"/>
    </row>
    <row r="69" spans="1:8" ht="12.75">
      <c r="A69" s="23"/>
      <c r="B69" s="19"/>
      <c r="C69" s="19"/>
      <c r="D69" s="19"/>
      <c r="E69" s="19"/>
      <c r="F69" s="26"/>
      <c r="G69" s="26"/>
      <c r="H69" s="4" t="s">
        <v>57</v>
      </c>
    </row>
    <row r="70" spans="1:8" ht="12.75">
      <c r="A70" s="23"/>
      <c r="B70" s="19"/>
      <c r="C70" s="19"/>
      <c r="D70" s="19"/>
      <c r="E70" s="19"/>
      <c r="F70" s="26"/>
      <c r="G70" s="26"/>
      <c r="H70" s="4"/>
    </row>
    <row r="71" spans="1:8" ht="12.75">
      <c r="A71" s="23"/>
      <c r="B71" s="19"/>
      <c r="C71" s="19"/>
      <c r="D71" s="19"/>
      <c r="E71" s="19"/>
      <c r="F71" s="26"/>
      <c r="G71" s="26"/>
      <c r="H71" s="4"/>
    </row>
    <row r="72" spans="1:8" ht="12.75">
      <c r="A72" s="23"/>
      <c r="B72" s="19"/>
      <c r="C72" s="19"/>
      <c r="D72" s="19"/>
      <c r="E72" s="19"/>
      <c r="F72" s="26"/>
      <c r="G72" s="26"/>
      <c r="H72" s="4"/>
    </row>
    <row r="73" spans="1:8" ht="12.75">
      <c r="A73" s="23"/>
      <c r="B73" s="19"/>
      <c r="C73" s="19"/>
      <c r="D73" s="19"/>
      <c r="E73" s="19"/>
      <c r="F73" s="26"/>
      <c r="G73" s="26"/>
      <c r="H73" s="4"/>
    </row>
    <row r="74" spans="1:8" ht="12.75">
      <c r="A74" s="23"/>
      <c r="B74" s="19"/>
      <c r="C74" s="19"/>
      <c r="D74" s="19"/>
      <c r="E74" s="19"/>
      <c r="F74" s="26"/>
      <c r="G74" s="26"/>
      <c r="H74" s="4"/>
    </row>
    <row r="75" spans="1:8" ht="12.75">
      <c r="A75" s="23"/>
      <c r="B75" s="19"/>
      <c r="C75" s="19"/>
      <c r="D75" s="19"/>
      <c r="E75" s="19"/>
      <c r="F75" s="26"/>
      <c r="G75" s="26"/>
      <c r="H75" s="4"/>
    </row>
    <row r="76" spans="1:8" ht="12.75">
      <c r="A76" s="23"/>
      <c r="B76" s="19"/>
      <c r="C76" s="19"/>
      <c r="D76" s="19"/>
      <c r="E76" s="19"/>
      <c r="F76" s="27"/>
      <c r="G76" s="27"/>
      <c r="H76" s="4" t="s">
        <v>58</v>
      </c>
    </row>
    <row r="77" spans="1:8" ht="12.75">
      <c r="A77" s="8" t="s">
        <v>59</v>
      </c>
      <c r="B77" s="16"/>
      <c r="C77" s="16">
        <f>SUM(C21:C76)</f>
        <v>699650381.92</v>
      </c>
      <c r="D77" s="16">
        <f>SUM(D21:D76)</f>
        <v>628568992.73</v>
      </c>
      <c r="E77" s="16"/>
      <c r="F77" s="6"/>
      <c r="G77" s="6"/>
      <c r="H77" s="4"/>
    </row>
    <row r="78" spans="1:8" ht="12.75">
      <c r="A78" s="2"/>
      <c r="B78" s="2"/>
      <c r="C78" s="4"/>
      <c r="D78" s="4"/>
      <c r="E78" s="4"/>
      <c r="F78" s="4"/>
      <c r="G78" s="4"/>
      <c r="H78" s="4"/>
    </row>
    <row r="79" spans="1:8" ht="12.75">
      <c r="A79" s="2"/>
      <c r="B79" s="2"/>
      <c r="C79" s="4"/>
      <c r="D79" s="4"/>
      <c r="E79" s="4"/>
      <c r="F79" s="4"/>
      <c r="G79" s="4"/>
      <c r="H79" s="4"/>
    </row>
    <row r="80" spans="1:8" ht="12.75">
      <c r="A80" s="2" t="s">
        <v>60</v>
      </c>
      <c r="B80" s="2"/>
      <c r="C80" s="4">
        <v>272.7</v>
      </c>
      <c r="D80" s="4">
        <v>276.1</v>
      </c>
      <c r="E80" s="4"/>
      <c r="F80" s="4"/>
      <c r="G80" s="4"/>
      <c r="H80" s="4"/>
    </row>
    <row r="81" spans="1:8" ht="12.75">
      <c r="A81" s="2" t="s">
        <v>61</v>
      </c>
      <c r="B81" s="2"/>
      <c r="C81" s="4">
        <v>3966.5</v>
      </c>
      <c r="D81" s="4">
        <v>7140.8</v>
      </c>
      <c r="E81" s="4"/>
      <c r="F81" s="4"/>
      <c r="G81" s="4"/>
      <c r="H81" s="4"/>
    </row>
    <row r="82" spans="1:8" ht="12.75">
      <c r="A82" s="2" t="s">
        <v>62</v>
      </c>
      <c r="B82" s="2"/>
      <c r="C82" s="4">
        <f>5460.2+3983.5+2375+4331+742.5+2133.7</f>
        <v>19025.9</v>
      </c>
      <c r="D82" s="4">
        <f>5085.5+3710.2+0+691.5+249.4</f>
        <v>9736.6</v>
      </c>
      <c r="E82" s="4"/>
      <c r="F82" s="4"/>
      <c r="G82" s="4"/>
      <c r="H82" s="4"/>
    </row>
    <row r="83" spans="1:8" ht="12.75">
      <c r="A83" s="8" t="s">
        <v>59</v>
      </c>
      <c r="B83" s="8"/>
      <c r="C83" s="10">
        <f>SUM(C80:C82)</f>
        <v>23265.100000000002</v>
      </c>
      <c r="D83" s="10">
        <f>SUM(D80:D82)</f>
        <v>17153.5</v>
      </c>
      <c r="E83" s="10"/>
      <c r="F83" s="10"/>
      <c r="G83" s="10"/>
      <c r="H83" s="4"/>
    </row>
    <row r="84" spans="1:8" ht="51">
      <c r="A84" s="11" t="s">
        <v>63</v>
      </c>
      <c r="B84" s="11"/>
      <c r="C84" s="12">
        <f>5754.4-3620.7</f>
        <v>2133.7</v>
      </c>
      <c r="D84" s="12">
        <f>6742.8-6493.4</f>
        <v>249.40000000000055</v>
      </c>
      <c r="E84" s="10"/>
      <c r="F84" s="10"/>
      <c r="G84" s="10"/>
      <c r="H84" s="7"/>
    </row>
    <row r="85" spans="1:8" ht="12.75">
      <c r="A85" s="2"/>
      <c r="B85" s="2"/>
      <c r="C85" s="4"/>
      <c r="D85" s="4"/>
      <c r="E85" s="4"/>
      <c r="F85" s="4"/>
      <c r="G85" s="4"/>
      <c r="H85" s="4"/>
    </row>
    <row r="86" spans="1:8" ht="12.75">
      <c r="A86" s="2" t="s">
        <v>64</v>
      </c>
      <c r="B86" s="2"/>
      <c r="C86" s="4">
        <v>2775.6</v>
      </c>
      <c r="D86" s="4"/>
      <c r="E86" s="4"/>
      <c r="F86" s="4"/>
      <c r="G86" s="4"/>
      <c r="H86" s="4"/>
    </row>
    <row r="87" spans="1:8" ht="12.75">
      <c r="A87" s="2" t="s">
        <v>65</v>
      </c>
      <c r="B87" s="2"/>
      <c r="C87" s="4">
        <v>3620.7</v>
      </c>
      <c r="D87" s="4">
        <v>6493.4</v>
      </c>
      <c r="E87" s="4"/>
      <c r="F87" s="4"/>
      <c r="G87" s="4"/>
      <c r="H87" s="4"/>
    </row>
    <row r="88" spans="1:8" ht="12.75">
      <c r="A88" s="2" t="s">
        <v>66</v>
      </c>
      <c r="B88" s="2"/>
      <c r="C88" s="4">
        <v>63944.4</v>
      </c>
      <c r="D88" s="4">
        <v>63944.4</v>
      </c>
      <c r="E88" s="4"/>
      <c r="F88" s="4"/>
      <c r="G88" s="4"/>
      <c r="H88" s="4"/>
    </row>
    <row r="89" spans="1:8" ht="12.75">
      <c r="A89" s="2" t="s">
        <v>67</v>
      </c>
      <c r="B89" s="2"/>
      <c r="C89" s="7"/>
      <c r="D89" s="7"/>
      <c r="E89" s="7"/>
      <c r="F89" s="7"/>
      <c r="G89" s="7"/>
      <c r="H89" s="4"/>
    </row>
    <row r="90" spans="1:8" ht="12.75">
      <c r="A90" s="2" t="s">
        <v>68</v>
      </c>
      <c r="B90" s="2"/>
      <c r="C90" s="7">
        <v>5050.1</v>
      </c>
      <c r="D90" s="7">
        <v>5359.6</v>
      </c>
      <c r="E90" s="7"/>
      <c r="F90" s="7"/>
      <c r="G90" s="7"/>
      <c r="H90" s="4"/>
    </row>
    <row r="91" spans="1:8" ht="12.75">
      <c r="A91" s="2" t="s">
        <v>69</v>
      </c>
      <c r="B91" s="2"/>
      <c r="C91" s="7">
        <v>387.7</v>
      </c>
      <c r="D91" s="7">
        <v>412.3</v>
      </c>
      <c r="E91" s="7"/>
      <c r="F91" s="7"/>
      <c r="G91" s="7"/>
      <c r="H91" s="4"/>
    </row>
    <row r="92" spans="1:8" ht="12.75">
      <c r="A92" s="2" t="s">
        <v>70</v>
      </c>
      <c r="B92" s="2"/>
      <c r="C92" s="7">
        <v>387</v>
      </c>
      <c r="D92" s="7">
        <v>411.4</v>
      </c>
      <c r="E92" s="7"/>
      <c r="F92" s="7"/>
      <c r="G92" s="7"/>
      <c r="H92" s="4"/>
    </row>
    <row r="93" spans="1:8" ht="12.75">
      <c r="A93" s="2" t="s">
        <v>71</v>
      </c>
      <c r="B93" s="2"/>
      <c r="C93" s="7">
        <v>7790.7</v>
      </c>
      <c r="D93" s="7">
        <v>7790.7</v>
      </c>
      <c r="E93" s="7"/>
      <c r="F93" s="7"/>
      <c r="G93" s="7"/>
      <c r="H93" s="4"/>
    </row>
    <row r="94" spans="1:8" ht="12.75">
      <c r="A94" s="2" t="s">
        <v>72</v>
      </c>
      <c r="B94" s="2"/>
      <c r="C94" s="7">
        <v>1094.2</v>
      </c>
      <c r="D94" s="7">
        <v>1094.2</v>
      </c>
      <c r="E94" s="7"/>
      <c r="F94" s="7"/>
      <c r="G94" s="7"/>
      <c r="H94" s="4"/>
    </row>
    <row r="95" spans="1:8" ht="12.75">
      <c r="A95" s="2" t="s">
        <v>73</v>
      </c>
      <c r="B95" s="2"/>
      <c r="C95" s="7">
        <f>287.2+276.9</f>
        <v>564.0999999999999</v>
      </c>
      <c r="D95" s="7">
        <f>269.7+276.9</f>
        <v>546.5999999999999</v>
      </c>
      <c r="E95" s="7"/>
      <c r="F95" s="7"/>
      <c r="G95" s="7"/>
      <c r="H95" s="4"/>
    </row>
    <row r="96" spans="1:8" ht="12.75">
      <c r="A96" s="2" t="s">
        <v>74</v>
      </c>
      <c r="B96" s="2"/>
      <c r="C96" s="7">
        <v>1313.6</v>
      </c>
      <c r="D96" s="7">
        <v>1313.6</v>
      </c>
      <c r="E96" s="7"/>
      <c r="F96" s="7"/>
      <c r="G96" s="7"/>
      <c r="H96" s="4"/>
    </row>
    <row r="97" spans="1:8" ht="12.75">
      <c r="A97" s="2" t="s">
        <v>75</v>
      </c>
      <c r="B97" s="2"/>
      <c r="C97" s="7"/>
      <c r="D97" s="7">
        <v>3.5</v>
      </c>
      <c r="E97" s="7"/>
      <c r="F97" s="7"/>
      <c r="G97" s="7"/>
      <c r="H97" s="4"/>
    </row>
    <row r="98" spans="1:8" ht="12.75">
      <c r="A98" s="2" t="s">
        <v>76</v>
      </c>
      <c r="B98" s="2"/>
      <c r="C98" s="7">
        <v>220</v>
      </c>
      <c r="D98" s="7">
        <v>220</v>
      </c>
      <c r="E98" s="7"/>
      <c r="F98" s="7"/>
      <c r="G98" s="7"/>
      <c r="H98" s="4"/>
    </row>
    <row r="99" spans="1:8" ht="12.75">
      <c r="A99" s="2" t="s">
        <v>77</v>
      </c>
      <c r="B99" s="2"/>
      <c r="C99" s="7">
        <v>445.7</v>
      </c>
      <c r="D99" s="7">
        <v>503.6</v>
      </c>
      <c r="E99" s="7"/>
      <c r="F99" s="7"/>
      <c r="G99" s="7"/>
      <c r="H99" s="4"/>
    </row>
    <row r="100" spans="1:8" ht="12.75">
      <c r="A100" s="2" t="s">
        <v>78</v>
      </c>
      <c r="B100" s="2"/>
      <c r="C100" s="7">
        <v>412.6</v>
      </c>
      <c r="D100" s="7">
        <v>412.6</v>
      </c>
      <c r="E100" s="7"/>
      <c r="F100" s="7"/>
      <c r="G100" s="7"/>
      <c r="H100" s="4"/>
    </row>
    <row r="101" spans="1:8" ht="12.75">
      <c r="A101" s="2" t="s">
        <v>79</v>
      </c>
      <c r="B101" s="2"/>
      <c r="C101" s="7">
        <v>4900.5</v>
      </c>
      <c r="D101" s="7">
        <v>4900.5</v>
      </c>
      <c r="E101" s="7"/>
      <c r="F101" s="7"/>
      <c r="G101" s="7"/>
      <c r="H101" s="4"/>
    </row>
    <row r="102" spans="1:8" ht="12.75">
      <c r="A102" s="2" t="s">
        <v>80</v>
      </c>
      <c r="B102" s="2"/>
      <c r="C102" s="7">
        <f>5429.6+2808.4</f>
        <v>8238</v>
      </c>
      <c r="D102" s="7">
        <f>5492.6+2808.4</f>
        <v>8301</v>
      </c>
      <c r="E102" s="7"/>
      <c r="F102" s="7"/>
      <c r="G102" s="7"/>
      <c r="H102" s="4"/>
    </row>
    <row r="103" spans="1:8" ht="12.75">
      <c r="A103" s="2" t="s">
        <v>81</v>
      </c>
      <c r="B103" s="2"/>
      <c r="C103" s="7">
        <v>301.5</v>
      </c>
      <c r="D103" s="7">
        <v>282.9</v>
      </c>
      <c r="E103" s="7"/>
      <c r="F103" s="7"/>
      <c r="G103" s="7"/>
      <c r="H103" s="4"/>
    </row>
    <row r="104" spans="1:8" ht="12.75">
      <c r="A104" s="2" t="s">
        <v>82</v>
      </c>
      <c r="B104" s="2"/>
      <c r="C104" s="7">
        <v>1169.6</v>
      </c>
      <c r="D104" s="7">
        <v>1242.1</v>
      </c>
      <c r="E104" s="7"/>
      <c r="F104" s="7"/>
      <c r="G104" s="7"/>
      <c r="H104" s="4"/>
    </row>
    <row r="105" spans="1:8" ht="12.75">
      <c r="A105" s="2" t="s">
        <v>83</v>
      </c>
      <c r="B105" s="2"/>
      <c r="C105" s="7">
        <v>1692.7</v>
      </c>
      <c r="D105" s="7">
        <v>1603.6</v>
      </c>
      <c r="E105" s="7"/>
      <c r="F105" s="7"/>
      <c r="G105" s="7"/>
      <c r="H105" s="4"/>
    </row>
    <row r="106" spans="1:8" ht="12.75">
      <c r="A106" s="2" t="s">
        <v>84</v>
      </c>
      <c r="B106" s="2"/>
      <c r="C106" s="7">
        <v>363.6</v>
      </c>
      <c r="D106" s="7">
        <v>363.6</v>
      </c>
      <c r="E106" s="7"/>
      <c r="F106" s="7"/>
      <c r="G106" s="7"/>
      <c r="H106" s="4"/>
    </row>
    <row r="107" spans="1:8" ht="12.75">
      <c r="A107" s="2" t="s">
        <v>85</v>
      </c>
      <c r="B107" s="2"/>
      <c r="C107" s="7">
        <v>73</v>
      </c>
      <c r="D107" s="7">
        <v>59.3</v>
      </c>
      <c r="E107" s="7"/>
      <c r="F107" s="7"/>
      <c r="G107" s="7"/>
      <c r="H107" s="4"/>
    </row>
    <row r="108" spans="1:8" ht="12.75">
      <c r="A108" s="2" t="s">
        <v>86</v>
      </c>
      <c r="B108" s="2"/>
      <c r="C108" s="7">
        <v>38048</v>
      </c>
      <c r="D108" s="7">
        <v>38048</v>
      </c>
      <c r="E108" s="7"/>
      <c r="F108" s="7"/>
      <c r="G108" s="7"/>
      <c r="H108" s="4"/>
    </row>
    <row r="109" spans="1:8" ht="12.75">
      <c r="A109" s="8" t="s">
        <v>59</v>
      </c>
      <c r="B109" s="8"/>
      <c r="C109" s="10">
        <f>SUM(C86:C108)</f>
        <v>142793.30000000002</v>
      </c>
      <c r="D109" s="10">
        <f>SUM(D86:D108)</f>
        <v>143306.90000000002</v>
      </c>
      <c r="E109" s="10"/>
      <c r="F109" s="10"/>
      <c r="G109" s="10"/>
      <c r="H109" s="4"/>
    </row>
    <row r="110" spans="1:8" ht="12.75">
      <c r="A110" s="2"/>
      <c r="B110" s="2"/>
      <c r="C110" s="4"/>
      <c r="D110" s="4"/>
      <c r="E110" s="4"/>
      <c r="F110" s="4"/>
      <c r="G110" s="4"/>
      <c r="H110" s="4"/>
    </row>
    <row r="111" spans="1:8" ht="12.75">
      <c r="A111" s="8" t="s">
        <v>87</v>
      </c>
      <c r="B111" s="8"/>
      <c r="C111" s="6">
        <f>C77+C83+C109</f>
        <v>699816440.3199999</v>
      </c>
      <c r="D111" s="6">
        <f>D77+D83+D109</f>
        <v>628729453.13</v>
      </c>
      <c r="E111" s="6"/>
      <c r="F111" s="6"/>
      <c r="G111" s="6"/>
      <c r="H111" s="4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2021-02-20T05:44:11Z</cp:lastPrinted>
  <dcterms:created xsi:type="dcterms:W3CDTF">2015-01-13T12:52:34Z</dcterms:created>
  <dcterms:modified xsi:type="dcterms:W3CDTF">2021-02-20T05:53:46Z</dcterms:modified>
  <cp:category/>
  <cp:version/>
  <cp:contentType/>
  <cp:contentStatus/>
</cp:coreProperties>
</file>