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СВОД" sheetId="1" r:id="rId1"/>
    <sheet name="Лист1" sheetId="2" r:id="rId2"/>
  </sheets>
  <externalReferences>
    <externalReference r:id="rId5"/>
  </externalReferences>
  <definedNames>
    <definedName name="Excel_BuiltIn_Print_Area_1">#REF!</definedName>
    <definedName name="Excel_BuiltIn_Print_Titles_1">#REF!</definedName>
    <definedName name="_xlnm.Print_Titles" localSheetId="0">'СВОД'!$5:$8</definedName>
    <definedName name="_xlnm.Print_Area" localSheetId="0">'СВОД'!$B$1:$W$93</definedName>
  </definedNames>
  <calcPr fullCalcOnLoad="1"/>
</workbook>
</file>

<file path=xl/sharedStrings.xml><?xml version="1.0" encoding="utf-8"?>
<sst xmlns="http://schemas.openxmlformats.org/spreadsheetml/2006/main" count="724" uniqueCount="441">
  <si>
    <t>17</t>
  </si>
  <si>
    <t>ID_Form = 1000368</t>
  </si>
  <si>
    <t>6</t>
  </si>
  <si>
    <t>Дата вступления в силу и срок действия</t>
  </si>
  <si>
    <t>8</t>
  </si>
  <si>
    <t>29</t>
  </si>
  <si>
    <t>377</t>
  </si>
  <si>
    <t>…</t>
  </si>
  <si>
    <t>Наименование  номер и дата</t>
  </si>
  <si>
    <t>Номер статьи (подстатьи), пункта (подпункта )</t>
  </si>
  <si>
    <t xml:space="preserve"> Российской Федерации</t>
  </si>
  <si>
    <t>по плану</t>
  </si>
  <si>
    <t>по факту исполнения</t>
  </si>
  <si>
    <t>Код расхода по БК</t>
  </si>
  <si>
    <t>Наименование полномочия, расходного обязательства</t>
  </si>
  <si>
    <t>раздел</t>
  </si>
  <si>
    <t>подраздел</t>
  </si>
  <si>
    <t xml:space="preserve">Объем средств на исполнение расходного обязательства </t>
  </si>
  <si>
    <t>Итого расходных обязательств муниципальных образований</t>
  </si>
  <si>
    <t>х</t>
  </si>
  <si>
    <t>Правовое основание финансового обеспечения и расходования средств                                                                            (нормативные правовые акт, договоры, соглашения)</t>
  </si>
  <si>
    <t>01</t>
  </si>
  <si>
    <t>04</t>
  </si>
  <si>
    <t>05</t>
  </si>
  <si>
    <t>10</t>
  </si>
  <si>
    <t>03</t>
  </si>
  <si>
    <t>1) Федеральный закон от 06.10.2003 № 131-ФЗ "Об общих принципах организации местного самоуправления в Российской Федерации"
2) Федеральный конституционный закон от 30.05.2001 № 3-ФКЗ "О чрезвычайном положении"
3) Федеральный закон от 21.12.1994 № 68-ФЗ "О защите населения и территорий от чрезвычайных ситуаций природного и техногенного характера"</t>
  </si>
  <si>
    <t>1) ст. 15, п. 1, п.п. 7
2) ст. 1, п. 1
3) ст. 11, п 2, п.п. "г"</t>
  </si>
  <si>
    <t>1) 01.01.2006, не установлен
2) 30.05.2001, не установлен
3) 21.12.1994, не установлен</t>
  </si>
  <si>
    <t>1) Закон Нижегородской области от 04.01.1996 № 17-З "О защите населения и территорий Нижегородской области от чрезвычайных ситуаций природного и техногенного характера"     
2) Постановление Правительства Нижегородской области от 11.04.2006 № 116 "Об утверждении Положения о порядке формирования и расходования целевого финансового резерва для предупреждения и ликвидации чрезвычайных ситуаций и последствий стихийных бедствий"</t>
  </si>
  <si>
    <t>1) ст. 24
2) п. 7</t>
  </si>
  <si>
    <t xml:space="preserve">1) 04.01.1996, не установлен  
2) 05.05.2006, не установлен           
</t>
  </si>
  <si>
    <t xml:space="preserve">1) Федеральный закон от 06.10.2003 № 131-ФЗ "Об общих принципах организации местного самоуправления в Российской Федерации"
2) Федеральный закон от 02.03.2007 № 25-ФЗ "О муниципальной службе в Российской Федерации" </t>
  </si>
  <si>
    <t>Закон Нижегородской области от 03.08.2007 № 99-З "О муниципальной службе в Нижегородской области"</t>
  </si>
  <si>
    <t>03.08.2007, 
не установлен</t>
  </si>
  <si>
    <t>Федеральный закон от 06.10.2003 № 131-ФЗ "Об общих принципах организации местного самоуправления в Российской Федерации"</t>
  </si>
  <si>
    <t>Федеральный закон от 24.06.1999 № 120-ФЗ "Об основах системы профилактики безнадзорности и правонарушений несовершеннолетних"</t>
  </si>
  <si>
    <t>ст. 25, п. 2</t>
  </si>
  <si>
    <t>24.06.1999,
не установлен</t>
  </si>
  <si>
    <t>1) Закон Нижегородской области от 26.10.2006 № 121-З "О комиссиях по делам несовершеннолетних и защите их прав в Нижегородской области"
2) Постановление Правительства Нижегородской области от 29.01.2007 № 29 "О порядке предоставления местным бюджетам субвенций из областного фонда компенсаций на осуществление государственных полномочий по исполнению функций комиссии по делам несовершеннолетних и защите их прав, порядке расходования и представления органами местного самоуправления отчетности об использовании субвенций"</t>
  </si>
  <si>
    <t>1) ст. 7, п. 2
2) ст. 1, ст. 5</t>
  </si>
  <si>
    <t>1) 26.10.2006, не установлен
2) 07.09.2007, не установлен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</si>
  <si>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02.03.2007 № 25-ФЗ "О муниципальной службе в Российской Федерации"</t>
  </si>
  <si>
    <t>1) Закон Нижегородской области от 03.08.2007 № 99-З "О муниципальной службе в Нижегородской области"
2) Закон Нижегородской области от 10.10.2003 № 93-З "О денежном содержании лиц, замещающих муниципальные должности в Нижегородской области"</t>
  </si>
  <si>
    <t>1) 03.08.2007, не установлен
2) 10.10.2003, не установлен</t>
  </si>
  <si>
    <t xml:space="preserve">1) Федеральный закон от 06.10.2003 № 131-ФЗ "Об общих принципах организации местного самоуправления в Российской Федерации"
</t>
  </si>
  <si>
    <t>1) Закон Нижегородской области от 06.12.2011 № 177-З "О межбюджетных отношениях в Нижегородской области"                 2) Постановление Правительства Нижегородской области от 23.05.2005  № 320 "Об утверждении правил финансового обеспечения переданных исполнительно-распорядительным органам муниципальных образований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</si>
  <si>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 xml:space="preserve">1) ст. 19
</t>
  </si>
  <si>
    <t>1) ст. 11                                                                                                          2) полностью</t>
  </si>
  <si>
    <t>1) 06.12.2011,
не установлен 2) 31.05.2005,
не установлен</t>
  </si>
  <si>
    <t xml:space="preserve">1) Федеральный закон от 06.10.2003 № 131-ФЗ "Об общих принципах организации местного самоуправления в Российской Федерации"
</t>
  </si>
  <si>
    <t xml:space="preserve">1) ст.17, п 3
</t>
  </si>
  <si>
    <t>РАЙОН</t>
  </si>
  <si>
    <t>минус АРХИВ (- 440,0) минус учеба мун.служ. РОНО (-9,9) минус учеба Администрация (-67,8) минус КСИ (0)</t>
  </si>
  <si>
    <t>минус учеба ЕДДС (-25,0) минус учеба раб. учрежд. РОНО (-202,1) минус учеба раб. уч. РКСО (0)- раб уч. ХЭУ(-13,6)</t>
  </si>
  <si>
    <t>минус ФОТ Валявиной О. и Березиной О.</t>
  </si>
  <si>
    <t>ФОТ Валявиной О. и Березиной О.</t>
  </si>
  <si>
    <t>АРХИВ</t>
  </si>
  <si>
    <t>ВСЯ УЧЕБА</t>
  </si>
  <si>
    <t>ИТОГО</t>
  </si>
  <si>
    <t>2.2.2</t>
  </si>
  <si>
    <t>2.2.3</t>
  </si>
  <si>
    <t>2.2.4</t>
  </si>
  <si>
    <t>вычитаю из 1401 1220130 (2.3.3)</t>
  </si>
  <si>
    <t>2.3.1</t>
  </si>
  <si>
    <t>2.3.3</t>
  </si>
  <si>
    <t>2.3.4</t>
  </si>
  <si>
    <t>2.3.5</t>
  </si>
  <si>
    <t>2.3.7</t>
  </si>
  <si>
    <t>2.3.8</t>
  </si>
  <si>
    <t>2.3.9</t>
  </si>
  <si>
    <t>2.3.10</t>
  </si>
  <si>
    <t>2.3.11</t>
  </si>
  <si>
    <t>2.3.12</t>
  </si>
  <si>
    <t>2.3.13</t>
  </si>
  <si>
    <t>2.3.14</t>
  </si>
  <si>
    <t>2.3.19</t>
  </si>
  <si>
    <t>2.3.20</t>
  </si>
  <si>
    <t>2.3.24</t>
  </si>
  <si>
    <t>2.3.26</t>
  </si>
  <si>
    <t>2.3.27</t>
  </si>
  <si>
    <t>2.3.28</t>
  </si>
  <si>
    <t>2.3.29</t>
  </si>
  <si>
    <t>2.3.30</t>
  </si>
  <si>
    <t>2.3.31</t>
  </si>
  <si>
    <t>2.3.35</t>
  </si>
  <si>
    <t>2.3.36</t>
  </si>
  <si>
    <t>ВСЕГО</t>
  </si>
  <si>
    <t>пл</t>
  </si>
  <si>
    <t>ф</t>
  </si>
  <si>
    <t>мин уч. Мун служ.</t>
  </si>
  <si>
    <t>мин уч. Раб. Учр.</t>
  </si>
  <si>
    <t>1.2.1</t>
  </si>
  <si>
    <t>1.4</t>
  </si>
  <si>
    <t>1.4.1.4</t>
  </si>
  <si>
    <t>1.4.1.46</t>
  </si>
  <si>
    <t>1.1.1</t>
  </si>
  <si>
    <t>1.1.2</t>
  </si>
  <si>
    <t>1.1.9</t>
  </si>
  <si>
    <t>1.1.23</t>
  </si>
  <si>
    <t>1.2.5</t>
  </si>
  <si>
    <t xml:space="preserve">1) Федеральный закон от 06.10.2003 № 131-ФЗ "Об общих принципах организации местного самоуправления в Российской Федерации"
2) Федеральный закон от 21.12.2001 № 178-ФЗ " О приватизации государственного и муниципального имущества" </t>
  </si>
  <si>
    <t>1) ст. 15, п. 1, п.п. 3
2) ст. 4, п. 3</t>
  </si>
  <si>
    <t>Закон Нижегородской области от 13.07.2004 № 70-З "О приватизации государственного имущества в Нижегородской области"</t>
  </si>
  <si>
    <t xml:space="preserve">ст. 1, п. 1
</t>
  </si>
  <si>
    <t>13.07.2004, не установлен</t>
  </si>
  <si>
    <t>1.1.3</t>
  </si>
  <si>
    <t>1.1.5</t>
  </si>
  <si>
    <t>02</t>
  </si>
  <si>
    <t>1.5</t>
  </si>
  <si>
    <t>1.5.3.1</t>
  </si>
  <si>
    <t>1.5.4.2.1</t>
  </si>
  <si>
    <t>1.1.14</t>
  </si>
  <si>
    <t>1.1.30</t>
  </si>
  <si>
    <t>1.4.1.5</t>
  </si>
  <si>
    <t>1.4.1.42</t>
  </si>
  <si>
    <t>1.4.1.37</t>
  </si>
  <si>
    <t>Постановление Правительства Нижегородской области от 13.11.2012 № 803 "О государственной поддержке агропромышленного комплекса Нижегородской области"</t>
  </si>
  <si>
    <t>п. 1.7</t>
  </si>
  <si>
    <t>01.01.2013, не установлен</t>
  </si>
  <si>
    <t>1.4.1.47</t>
  </si>
  <si>
    <t>1.4.1.43</t>
  </si>
  <si>
    <t>1.4.1.49</t>
  </si>
  <si>
    <t>1.4.1.40</t>
  </si>
  <si>
    <t>1.4.1.35</t>
  </si>
  <si>
    <t>1.4.1.28</t>
  </si>
  <si>
    <t>1.4.1.13</t>
  </si>
  <si>
    <t>1.4.1.15</t>
  </si>
  <si>
    <t>06.10.2003,
не установлен</t>
  </si>
  <si>
    <t>1.4.1.19</t>
  </si>
  <si>
    <t>1.4.1.30</t>
  </si>
  <si>
    <t>1.4.1.23</t>
  </si>
  <si>
    <t>1.4.1.16</t>
  </si>
  <si>
    <t>1.4.1.27</t>
  </si>
  <si>
    <t>1.4.1.33</t>
  </si>
  <si>
    <t>1.4.1.22</t>
  </si>
  <si>
    <t>1.4.1.32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</si>
  <si>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10.12.1995 № 196-ФЗ "О безопасности дорожного движения" 
3) Постановление Правительства Российской Федерации от 15.12.2004 № 787 "Об утверждении Положения об основах государственного регулирования тарифов на железнодорожном транспорте и правил предоставления исключительных тарифов на железнодорожном транспорте"</t>
  </si>
  <si>
    <t>1) ст. 15, п. 1, п.п. 6
2) ст. 6, п. 4
3) п. 1</t>
  </si>
  <si>
    <t>1) 01.01.2006, не установлен
2) 10.12.1995, не установлен
3) 15.12.2004, не установлен</t>
  </si>
  <si>
    <t>1) Постановление Правительства Нижегородской области от 21.01.2005 № 3 "О введении на территории Нижегородской области единого социального проездного билета"
2) Постановление Правительства Нижегородской области от 06.03.2009 № 100 "Об организации транспортного обслуживания населения автомобильным транспортом в пригородном и межмуниципальном сообщении на территории Нижегородской области"</t>
  </si>
  <si>
    <t>2) п. 6
                                  2) полностью</t>
  </si>
  <si>
    <t>08</t>
  </si>
  <si>
    <t>1.1.6</t>
  </si>
  <si>
    <t>1.1.41</t>
  </si>
  <si>
    <t>1.1.21</t>
  </si>
  <si>
    <t>12</t>
  </si>
  <si>
    <t>ст.17, п. 1, аб. 6</t>
  </si>
  <si>
    <t>1.2.12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</si>
  <si>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10.01.2002 № 7-ФЗ "Об охране окружающей среды"
3) Постановление Минприроды России от 19.03.2012 № 69 "Об утверждении порядка ведения государственного кадастра особо охраняемых природных территорий"</t>
  </si>
  <si>
    <t>1) ст. 15, п. 1, п.п. 9
2) ст. 7, п. 3, абз. 2
3) п. 2</t>
  </si>
  <si>
    <t>1) 01.01.2006, не установлен
2) 10.01.2002, не установлен
3) 25.06.2012, не установлен</t>
  </si>
  <si>
    <t xml:space="preserve">1) Закон Нижегородской области от 10.09.1996 № 45-З "Об экологической безопасности"
2) Закон Нижегородской области от 07.09.2007 № 110-З "Об охране озелененных территорий Нижегородской области"  </t>
  </si>
  <si>
    <t>1) ст. 18
2) ст. 7, абз. 1, п. 3</t>
  </si>
  <si>
    <t>1) 10.09.1996, не установлен
2) 07.09.2007, не установлен</t>
  </si>
  <si>
    <t>1.1.13</t>
  </si>
  <si>
    <t>1.4.1.2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</si>
  <si>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26.03.2003 № 35-ФЗ "Об электроэнергетике"
3) Федеральный закон от 31.03.1999 № 69-ФЗ "О газоснабжении в Российской Федерации"</t>
  </si>
  <si>
    <t>1) ст. 15, п. 1, п.п. 4
2) ст. 21, п. 4, абз. 14
3) ст. 7</t>
  </si>
  <si>
    <t>1) Закон Нижегородской области от 05.09.2012 № 117-З "Об энергосбережении и повышении энергетической эффективности на территории Нижегородской области"
2) Постановление Правительства Нижегородской области от 13.05.2008 № 187 "Об утверждении Положения о порядке предоставления из средств областного бюджета социальных выплат на возмещение части процентной ставки по кредитам, полученным гражданами на газификацию жилья в российских кредитных организациях"</t>
  </si>
  <si>
    <t>1) ст.5, абз, 11
2) полностью</t>
  </si>
  <si>
    <t>1) 05.09.2012, не установлен
2) 26.06.2008, не установлен</t>
  </si>
  <si>
    <t>1.1.4</t>
  </si>
  <si>
    <t>1.4.1.8</t>
  </si>
  <si>
    <t>1.4.1.18</t>
  </si>
  <si>
    <t>1.1.7</t>
  </si>
  <si>
    <t>1.4.1.6</t>
  </si>
  <si>
    <t>1.4.1.7</t>
  </si>
  <si>
    <t>полностью</t>
  </si>
  <si>
    <t>1.1.22</t>
  </si>
  <si>
    <t>1.1.32</t>
  </si>
  <si>
    <t>1.4.1.44</t>
  </si>
  <si>
    <t>1.4.1.45</t>
  </si>
  <si>
    <t xml:space="preserve">1)  "О ветеранах" Федеральный Закон от 12.01.1995 № 5-ФЗ
                                                                                                    </t>
  </si>
  <si>
    <t xml:space="preserve">1) глава II, статья 23.2, пункты 1, 2;                                                                                                                                                                       </t>
  </si>
  <si>
    <t xml:space="preserve">1) 16.01.1995, не установлен;                                                                                                                                                                                                                                                                               
</t>
  </si>
  <si>
    <t xml:space="preserve">Постановление Правительства РФ от 07.11.2005 № 659 "Об утверждении норм материального обеспечения детей-сирот и детей, оставшихся без попечения родителей, лиц из числа детей-сирот и детей, оставшихся без попечения родителей, обучающихся и воспитывающихся в федеральных государственных образовательных учреждениях, несовершеннолетних, обучающихся и воспитывающихся в федеральных государственных образовательных учреждениях - специальных профессиональных училищах открытого и закрытого типа и федеральном государственном учреждении "Сергиево Посадский детский дом слепоглухих Федерального агентства по здравоохранению и социальному развитию"
</t>
  </si>
  <si>
    <t>07.11.2005, не установлено</t>
  </si>
  <si>
    <t xml:space="preserve">Постановление Правительства Нижегородской области от 23.12.2004 № 288 "О порядке назначения и выплаты ежемесячного пособия на опекаемых детей, ежемесячной денежной выплаты и предоставления мер социальной поддержки по оплате жилья и коммунальных услуг детям-сиротам и детям, оставшимся без попечения родителей, а также лицам из числа детей-сирот и детей, оставшихся без попечения родителей, и порядке обеспечения проездом детей-сирот, детей, оставшихся без попечения родителей, и лиц из числа детей-сирот и детей, оставшихся без попечения родителей, обучающихся в образовательных учреждениях Нижегородской области"
</t>
  </si>
  <si>
    <t>23.12.2004, не установлено</t>
  </si>
  <si>
    <t>1.4.1.10</t>
  </si>
  <si>
    <t>1.4.1.29</t>
  </si>
  <si>
    <t>1.1.31</t>
  </si>
  <si>
    <t>1) Федеральный закон от 06.10.2003 № 131-ФЗ "Об общих принципах организации местного самоуправления в Российской Федерации"
2) Закон Российской Федерации от 27.12.1991 № 2124-1 "О средствах массовой информации"</t>
  </si>
  <si>
    <t>1) ст. 17, п. 1, п.п. 7
2) ст. 6</t>
  </si>
  <si>
    <t>1) Постановление Правительства Нижегородской области от 19.05.2006 № 176 "О порядке оказания финансовой поддержки средствам массовой информации Нижегородской области"</t>
  </si>
  <si>
    <t xml:space="preserve">1) п.10, абз. 1   </t>
  </si>
  <si>
    <t xml:space="preserve">1) 19.05.2006, не установлен                  </t>
  </si>
  <si>
    <t>1.2.13</t>
  </si>
  <si>
    <t>1.5.1</t>
  </si>
  <si>
    <t xml:space="preserve">1) Федеральный закон от 06.10.2003 № 131-ФЗ "Об общих принципах организации местного самоуправления в Российской Федерации"
2) Федеральный закон от 22.10.2004 № 125-ФЗ "Об архивном деле в Российской Федерации"
</t>
  </si>
  <si>
    <t xml:space="preserve">1) ст. 15, п. 1, п.п. 16
2) ст. 4, п. 3
</t>
  </si>
  <si>
    <t>Закон Нижегородской области от 22.12.2005 № 209-З "Об архивном деле в Нижегородской области"</t>
  </si>
  <si>
    <t xml:space="preserve"> ст .8, п. 2</t>
  </si>
  <si>
    <t>22.12.2005, не установлен</t>
  </si>
  <si>
    <t xml:space="preserve">1) ст. 17, п. 8.1
2) ст. 11, п. 1, пп. 7
</t>
  </si>
  <si>
    <t>ст. 10, п. 1, пп. 7</t>
  </si>
  <si>
    <t>1) 21.01.2005, не установлен
                              2) 01.04.2009-11.01.2016</t>
  </si>
  <si>
    <t xml:space="preserve"> Постановление Правительства Нижегородской области от 29.11.2010 №848 "О порядке осуществления органами исполнительной власти Нижегородской области функций и полномочий учредителя государственного учреждения Нижегородской области"</t>
  </si>
  <si>
    <t>п.4</t>
  </si>
  <si>
    <t>01.01.2011, не установлен</t>
  </si>
  <si>
    <t xml:space="preserve"> Постановление Правительства Нижегородской области от 25.12.2015 №206-З "О промышленной политике в Нижегородской области"</t>
  </si>
  <si>
    <t>ст.9</t>
  </si>
  <si>
    <t>25.12.2015, не установлен</t>
  </si>
  <si>
    <t>Закон Нижегородской области от 30.09.2008 №116-З "О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отношений"</t>
  </si>
  <si>
    <t>ст.4</t>
  </si>
  <si>
    <t xml:space="preserve">1) 06.10.2003,
не установлен
</t>
  </si>
  <si>
    <t>ст. 20</t>
  </si>
  <si>
    <t>1) Закон Российской Федерации от 10.07.1992 № 3266-1 "Об образовании"
2) Федеральный закон от 06.10.1999 № 184-ФЗ "Об общих принципах организации законодательных (представительных) и исполнительных органов государственной власти субъектов Российской Федерации"                                                              3) Закон Российской Федерации от 29.12.2012 № 273-ФЗ "Об образовании в Российской Федерации"</t>
  </si>
  <si>
    <t xml:space="preserve">1) ст. 29, п. 6.1
2) ст. 26.3, п.2, п.п. 13
3) гл.7, гл. 10
</t>
  </si>
  <si>
    <t xml:space="preserve">1) 10.07.1992, 31.08.2013
2) 06.10.1999, не установлен
3) 01.09.2013, не установлен
</t>
  </si>
  <si>
    <t xml:space="preserve">1) Закон Нижегородской области от 21.10.2005 № 140-З "О наделении органов местного самоуправления отдельными государственными полномочиями в области образования"
2) Закон Нижегородской области от 10.12.2004 № 145-З "О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области общего образования"                                               3) Закон Нижегородской области от 28.11.2013 № 160-З "О предоставлении органам местного самоуправления муниципальных районов и городских округов Нижегородской области субвенций на исполнение полномочий в сфере общего образования" </t>
  </si>
  <si>
    <t xml:space="preserve">1) ст. 6, п. 1
2) ст. 2, ст. 3
3) </t>
  </si>
  <si>
    <t>1) 21.10.2005, не установлен
2)10.12.2004, 31.12.2013
3) 01.01.2014, не установлен</t>
  </si>
  <si>
    <t>07</t>
  </si>
  <si>
    <t xml:space="preserve">1) Федеральный закон от 06.10.2003 № 131-ФЗ "Об общих принципах организации местного самоуправления в Российской Федерации"
2) Федеральный закон от 24.07.2007 № 209-ФЗ "О развитии малого и среднего предпринимательства в Российской Федерации"
3) Федеральный закон от 10.01.1996 № 4-ФЗ "О мелиорации земель"                                                 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</si>
  <si>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04.12.2007 №329-ФЗ "О физической культуре и спорте в Российской Федерации"
3) Постановление Правительства Российской Федерации от 24.07.2000 №551 "О военно-патриотических молодежных объединениях"</t>
  </si>
  <si>
    <t>1) ст. 15, п. 1, п.п. 27
2) ст. 13
3) п. 1, утвержденного положения</t>
  </si>
  <si>
    <t xml:space="preserve">
1) Постановление Правительства Нижегородской области от 16.09.2010 №618 "Об утверждении комплексной целевой программы развития малого предпринимательства в Нижегородской области на 2011 - 2015 годы"                                                    2) Постановление Правительства Нижегородской области от 28.10.2013 № 780 (ред. от 03.03.2014) "Об утверждении государственной программы "Развитие предпринимательства и туризма Нижегородской области на 2014 - 2016 годы"                                                                                     3) Постановление Правительства Нижегородской области от 29.04.2014 № 290 "Об утверждении государственной программы "Развитие предпринимательства и туризма Нижегородской области" </t>
  </si>
  <si>
    <t xml:space="preserve">
1) п.3 
2) п.1
3) п.1</t>
  </si>
  <si>
    <t xml:space="preserve">
1) 16.09.2010-31.12.2013
2) 03.03.2014, 31.12.2015
3)01.01.2015, не установлен</t>
  </si>
  <si>
    <t xml:space="preserve">1) Закон Нижегородской области от 25.04.1997 № 70-З "О молодежной политике"
                                                                                                           </t>
  </si>
  <si>
    <t xml:space="preserve">1) ст. 8, п. 2
</t>
  </si>
  <si>
    <t xml:space="preserve">1) 25.04.1997, не установлен
</t>
  </si>
  <si>
    <t>1) Федеральный закон от 06.10.2003 № 131-ФЗ "Об общих принципах организации местного самоуправления в Российской Федерации"</t>
  </si>
  <si>
    <t>ст. 9</t>
  </si>
  <si>
    <t>1) 01.01.2006, не установлен</t>
  </si>
  <si>
    <t>1. Расходные обязательства, возникшие в результате принятия нормативных правовых актов Княгининского  района, заключения договоров (соглашений) в рамках реализации вопросов местного значения муниципального района, всего</t>
  </si>
  <si>
    <t>в том числе:</t>
  </si>
  <si>
    <t>1.3.владение, пользование и распоряжение имуществом, находящимся в муниципальной собственности муниципального района</t>
  </si>
  <si>
    <t>1.4.организация в границах муниципального района электро- и газоснабжения поселений в пределах полномочий, установленных законодательством Российской Федерации</t>
  </si>
  <si>
    <t>1.6.создание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</t>
  </si>
  <si>
    <t>1.9.участие в предупреждении и ликвидации последствий чрезвычайных ситуаций на территории муниципального района</t>
  </si>
  <si>
    <t>1.13.организация мероприятий межпоселенческого характера по охране окружающей среды</t>
  </si>
  <si>
    <t>1.19.формирование и содержание муниципального архива, включая хранение архивных фондов поселений</t>
  </si>
  <si>
    <t>1.30.создание условий для развития сельскохозяйственного производства в поселениях, расширения рынка сельскохозяйственной продукции, сырья и продовольствия, содействие развитию малого и среднего предпринимательства, оказание поддержки социально ориентированным некоммерческим организациям, благотворительной деятельности и добровольчеству</t>
  </si>
  <si>
    <t>1.32.организация и осуществление мероприятий межпоселенческого характера по работе с детьми и молодежью</t>
  </si>
  <si>
    <t>2.Расходные обязательства, возникшие в результате принятия нормативных правовых актов муниципального района, заключения договоров (соглашений) в рамках реализации полномочий органов местного самоуправления муниципального района по решению вопросов местного значения муниципального района, всего</t>
  </si>
  <si>
    <t>2.1.функционирование органов местного самоуправления</t>
  </si>
  <si>
    <t>2.4.становление официальных символов муниципального образования</t>
  </si>
  <si>
    <t>2.5.создание муниципальных предприятий и учреждений,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учреждениями, а также осуществление закупок товаров, работ, услуг для обеспечения муниципальных нужд</t>
  </si>
  <si>
    <t>2.12.разработка и утверждение программ комплексного развития систем коммунальной инфраструктуры поселений, городских округов, программ комплексного развития транспортной инфраструктуры поселений, городских округов, программ комплексного развития социальной инфраструктуры поселений, городских округов, требования к которым устанавливаются Правительством Российской Федерации</t>
  </si>
  <si>
    <t>2.13.учреждение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</si>
  <si>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2.15.организация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представительных органов муниципальных образований, муниципальных служащих и работников муниципальных учреждений, организация подготовки кадров для муниципальной службы в порядке, предусмотренном законодательством Российской Федерации об образовании и законодательством Российской Федерации о муниципальной службе</t>
  </si>
  <si>
    <t xml:space="preserve">3. Расходные обязательства, возникшие в результате принятия нормативных правовых актов Княгининского района, заключения договоров (соглашений) в рамках реализации органами местного самоуправления муниципального района отдельных государственных полномочий, переданных органами государственной власти Российской Федерации и (или) органами государственной власти субъекта Российской Федерации, всего
</t>
  </si>
  <si>
    <t>3.1.4.Субвенции на осуществление полномочий по созданию и организации деятельности муниципальных комиссий по  делам несовершеннолетних и защите их прав</t>
  </si>
  <si>
    <t>3.1.8.Субвенции на исполнение полномочий в сфере общего образования в муниципальных общеобразовательных организациях</t>
  </si>
  <si>
    <t xml:space="preserve">3.1.20.Субвенции на осуществление полномочий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</t>
  </si>
  <si>
    <t>3.1.27. Субвенции на 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областного бюджета</t>
  </si>
  <si>
    <t>3.1.43.Субвенции на обеспечение жильем отдельных категорий граждан, установленных Федеральным законом от 12 января 1995 года №5-ФЗ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</si>
  <si>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3.1.44.Субвенции на реализацию переданных исполнительно-распорядительным органам муниципальных образований Нижегородской области государственных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</si>
  <si>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9</t>
  </si>
  <si>
    <t>всего</t>
  </si>
  <si>
    <t>БДО</t>
  </si>
  <si>
    <t>БПО</t>
  </si>
  <si>
    <t>3.1.24.Субвенции на проведение ремонта жилых помещений, собственниками которых являются дети-сироты и дети, оставшиеся без попечения родителей, а также лица из числа детей-сирот и детей, оставшихся без попечения родителей, либо жилых помещений государственного жилищного фонда, право пользования которыми за ними сохранено, в целях обеспечения надлежащего санитарного и технического состояния этих жилых помещений</t>
  </si>
  <si>
    <t>Федеральный закон от 21.12.1996 № 159-ФЗ "О дополнительной гарантии социальной поддержки детей сирот и детей , оставшихся без попечения родителей"</t>
  </si>
  <si>
    <t>23.12.1996
не установлен</t>
  </si>
  <si>
    <t>1)22.12.2004, не установлен                                                                                                          2)17.10.2008, не установлен       3) 29.07.2011 не установлен</t>
  </si>
  <si>
    <t>01           03         01         04</t>
  </si>
  <si>
    <t>04            09         13         10</t>
  </si>
  <si>
    <t>1.21 создание условий для обеспечения поселений, входящих в состав муниципального района, услугами связи, общественного питания, торговли и бытового обслуживания</t>
  </si>
  <si>
    <t xml:space="preserve">3.1.50. Субвенция на  организацию и осуществление деятельности по опеке и попечительству в отношении совершеннолетних граждан
</t>
  </si>
  <si>
    <t xml:space="preserve"> Закона Нижегородской области №35-З "О НАДЕЛЕНИИ ОРГАНОВ МЕСТНОГО САМОУПРАВЛЕНИЯ
МУНИЦИПАЛЬНЫХ РАЙОНОВ И ГОРОДСКИХ ОКРУГОВ НИЖЕГОРОДСКОЙ
ОБЛАСТИ ОТДЕЛЬНЫМИ ГОСУДАРСТВЕННЫМИ ПОЛНОМОЧИЯМИ
ПО ОРГАНИЗАЦИИ И ОСУЩЕСТВЛЕНИЮ ДЕЯТЕЛЬНОСТИ ПО ОПЕКЕ
И ПОПЕЧИТЕЛЬСТВУ В ОТНОШЕНИИ СОВЕРШЕННОЛЕТНИХ ГРАЖДАН
"</t>
  </si>
  <si>
    <t xml:space="preserve"> субъекта Российской Федерации, органа местного самоуправления</t>
  </si>
  <si>
    <t>04                      01</t>
  </si>
  <si>
    <t>12                         13</t>
  </si>
  <si>
    <t>01          01          04</t>
  </si>
  <si>
    <t xml:space="preserve">04            13            10    </t>
  </si>
  <si>
    <t>Наименование субъекта бюджетного планирования  (для реестра расходных обязательств субъекта бюджетного планирования районного бюджета)</t>
  </si>
  <si>
    <t>Единица измерения: тыс руб (с точностью до первого десятичного знака)</t>
  </si>
  <si>
    <t xml:space="preserve">02          </t>
  </si>
  <si>
    <t xml:space="preserve">05           </t>
  </si>
  <si>
    <t xml:space="preserve">3.1.42.Субвенции на обеспечение жильем отдельных категорий граждан, установленных федеральными законами от 12 января 1995 года №5-ФЗ «О ветеранах» и от 24 ноября 1995 года №181-ФЗ «О социальной защите инвалидов в Российской Федерации» </t>
  </si>
  <si>
    <t>1)  "О ветеранах" Федеральный Закон от 12.01.1995 № 5-ФЗ
                                                                                                    2) Федеральный закон от 24.11.1995 № 181-ФЗ "О социальной защите инвалидов в Российской Федерации"</t>
  </si>
  <si>
    <t>1) глава II, статья 23.2, пункты 1, 2;                                                                                                                                                                       2) глава IV, статья 28.2, абзац 1</t>
  </si>
  <si>
    <t>1) 16.01.1995, не установлен;                                                                                                                                                                                                                                                                               
2) 27.11.1995, не установлен</t>
  </si>
  <si>
    <t>1.16 участие в организации деятельности по сбору (в том числе раздельному сбору), транспортированию , обработке, утилизации, обезвреживанию, захоронению тко на территории соответствующих муниципальных районов</t>
  </si>
  <si>
    <t>2.8  полномочиями по организации теплоснабжения, предусмотренными  ФЗ  "О теплоснабжении"</t>
  </si>
  <si>
    <t>2.9  полномочиями в сфере водоснабжения и водоотведения, предусмотренными  ФЗ  "О водоснабжении и водоотведении"</t>
  </si>
  <si>
    <t>Федеральный закон "О теплоснабжении" от 27.07.2010 N 190-ФЗ</t>
  </si>
  <si>
    <t>27.07.2010 не установлен</t>
  </si>
  <si>
    <t>Федеральный закон "О водоснабжении и водоотведении" от 07.12.2011 N 416-ФЗ</t>
  </si>
  <si>
    <t>07.12.2011 не установлен</t>
  </si>
  <si>
    <t>4.4.2. в иных случаях, не связанных с заключением соглашений, предусмотренных в подпункте 1.4.1, всего</t>
  </si>
  <si>
    <t>4. Расходные обязательства, возникшие в результате принятия нормативных правовых актов Княгининского района, заключения соглашений, предусматривающих предоставление межбюджетных трансфертов из бюджетаКнягининского района другим бюджетам бюджетной системы Российской Федерации, всего</t>
  </si>
  <si>
    <t>4.1. по предоставлению
дотаций на выравнивание бюджетной обеспеченности городских, сельских поселений, всего</t>
  </si>
  <si>
    <t>4.2. по предоставлению субсидий в бюджет субъекта Российской Федерации, всего</t>
  </si>
  <si>
    <t>4.3. по предоставлению субвенций в бюджеты городских, сельских поселений, предоставленных из
федерального бюджета и (или) бюджета субъекта Российской Федерации, в случае наделения федеральным законом и (или) законом субъекта Российской Федерации органов местного самоуправления муниципального района полномочиями органов государственной власти по расчету и предоставлению субвенций бюджетам городских, сельских поселений, всего</t>
  </si>
  <si>
    <t>в том числе</t>
  </si>
  <si>
    <t>4.4. по предоставлению иных межбюджетных трансфертов, всего</t>
  </si>
  <si>
    <t>4.4.1. в бюджет городского, сельского поселения в случае заключения соглашения с органами местного самоуправления отдельных поселений, входящих в состав муниципального района, о передаче им осуществления части своих полномочий по решению вопросов местного значения, всего</t>
  </si>
  <si>
    <t>3.1. за счет субвенций, предоставленных из
федерального бюджета или бюджета субъекта Российской Федерации, всего</t>
  </si>
  <si>
    <t xml:space="preserve">1) 06.10.2003, не установлен                            
</t>
  </si>
  <si>
    <t>06.10.2003, не установлен</t>
  </si>
  <si>
    <t>1) 06.10.2003, не установлен
2) 27.12.1991, не установлен</t>
  </si>
  <si>
    <t>1) 06.10.2003, не установлен
2) 02.03.2007, не установлен</t>
  </si>
  <si>
    <t xml:space="preserve">1) 06.10.2003, не установлен
2) 24.07.2007, 31.12.2013
3) 10.01.1996, не установлен
</t>
  </si>
  <si>
    <t xml:space="preserve">1) 06.10.2003, не установлен
2) 22.10.2004, не установлен
</t>
  </si>
  <si>
    <t>1) 06.10.2003, не установлен
2) 26.03.2003, не установлен
3) 31.03.1999, не установлен</t>
  </si>
  <si>
    <t>1) 06.10.2003, не установлен
2) 21.12.2001, не установлен</t>
  </si>
  <si>
    <t xml:space="preserve">Федеральный закон от 06.10.2003 № 131-ФЗ "Об общих принципах организации местного самоуправления в Российской Федерации"
</t>
  </si>
  <si>
    <t xml:space="preserve">06.10.2003, не установлен
</t>
  </si>
  <si>
    <t xml:space="preserve"> ст. 15
</t>
  </si>
  <si>
    <t xml:space="preserve"> ст. 15
</t>
  </si>
  <si>
    <t>отчетный  2018 год</t>
  </si>
  <si>
    <t>текущий 
 2019 год</t>
  </si>
  <si>
    <t>очередной 2020 год</t>
  </si>
  <si>
    <t>1.42. Обеспечение проживающих в сельском поселении и нуждающихся в жилых помещениях малоимущих граждан жилыми помещениями, организация строительства и содержания муниципального жилищного фонда,создание условий для жилищного строительства, осуществление муниципального жилищного контроля, а также иных полномочий органов местного самоуправления в соответствии с жилищным законодательством на территории сельского поселения</t>
  </si>
  <si>
    <t>1) Постановление Правительства Нижегородской области от 29.03.2019г. №168 "Об утверждении государственной региональной адресной программы "Переселение граждан из аварийного жилищного фонда на территории Нижегородской области на 2019-2025 годы"</t>
  </si>
  <si>
    <t>1) полностью</t>
  </si>
  <si>
    <t>1) 29.03.2019, не установлен</t>
  </si>
  <si>
    <t>1.41.дорожная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сельского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на территории сельского поселения</t>
  </si>
  <si>
    <t>09</t>
  </si>
  <si>
    <t>ФЕДЕРАЛЬНЫЙ ЗАКОН 08.11.2007г. №257 ФЗ "ОБ АВТОМОБИЛЬНЫХ ДОРОГАХ И О ДОРОЖНОЙ ДЕЯТЕЛЬНОСТИ
В РОССИЙСКОЙ ФЕДЕРАЦИИ И О ВНЕСЕНИИ ИЗМЕНЕНИЙ В ОТДЕЛЬНЫЕ
ЗАКОНОДАТЕЛЬНЫЕ АКТЫ РОССИЙСКОЙ ФЕДЕРАЦИИ"</t>
  </si>
  <si>
    <t>1)12.11.2007г., не установлен</t>
  </si>
  <si>
    <t xml:space="preserve">3.1.52. Субвенция на осуществление полномочий по созданию административных комиссий в Нижегородской облости и на осуществление отдельных полномочий в области законодательства об административных правонарушениях
</t>
  </si>
  <si>
    <t xml:space="preserve"> Закона Нижегородской области №91-З "Об административных комиссиях в Нижегородской области и 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законодательства об административных правонарушениях
"</t>
  </si>
  <si>
    <t>18.08.2011 не установлен</t>
  </si>
  <si>
    <t>1.14.организация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стандартами), организация предоставления дополнительного образования детей в муниципальных образовательных организациях (за исключением дополнительного образования детей, финансовое обеспечение которого осуществляется органами государственной власти субъекта Российской Федерации), создание условий для осуществления присмотра и ухода за детьми, содержания детей в муниципальных образовательных организациях, а также организация отдыха детей в каникулярное время</t>
  </si>
  <si>
    <t>1) Постановление Правительства Нижегородской области №300 "Об утверждении Положения о порядке предоставления и расходования субсидии из областного бюджета бюджетам муниципальных районов и городских округов Нижегородской области на капитальный ремонт образовательных организаций Нижегородской области, реализующих общеобразовательные программы" от 24.05.2019г</t>
  </si>
  <si>
    <t>28.05.2019, не установлен</t>
  </si>
  <si>
    <t>ст. 139</t>
  </si>
  <si>
    <t>06       05</t>
  </si>
  <si>
    <t>03         02</t>
  </si>
  <si>
    <t>3.1.53. Приобретение жилых помещений для предоставления гражданам, утратившим жилые помещения в результате пожара, по договорам социального найиа</t>
  </si>
  <si>
    <t>Бюджетный кодекс Российской Федерации</t>
  </si>
  <si>
    <t xml:space="preserve">1) 03.08.1998,
не установлен
</t>
  </si>
  <si>
    <t>Постановление Правительства Нижегородской области  №101 "Об утверждении положения о порядке предоставления субсидии бюджетам муниципальных районов (городских округов) на приобретение жилых помещений для предоставления гражданам, утратившим жилые помещения в результате пожара, по договорам социального найма"</t>
  </si>
  <si>
    <t>20.04.2013 не установлен</t>
  </si>
  <si>
    <t xml:space="preserve"> Реестр расходных обязательств муниципальных образований, входящих в состав Нижегородской области на 26.12.2019</t>
  </si>
  <si>
    <t xml:space="preserve">
10
05</t>
  </si>
  <si>
    <t xml:space="preserve">
03
02</t>
  </si>
  <si>
    <t>1.1.Составление и рассмотрение проекта бюджета муниципального района, утверждение и исполнение бюджета муниципального района, осуществление контроля за его исполнением, составление и утверждение отчета об исполнении бюджета муниципального района</t>
  </si>
  <si>
    <t xml:space="preserve">1) ст. 15, п. 1, п.п. 1
2) ст. 22, п. 2
</t>
  </si>
  <si>
    <t>1)  06.10.2003, не установлен, не установлен
2) 02.03.2007, не установлен</t>
  </si>
  <si>
    <t>ст. 38, абз, 1</t>
  </si>
  <si>
    <t>06</t>
  </si>
  <si>
    <t>1.2. Установление, изменение и отмена местных налогов и сборов муниципального района</t>
  </si>
  <si>
    <t xml:space="preserve">ст. 15, п. 1, п.п. 2
</t>
  </si>
  <si>
    <t xml:space="preserve"> 06.10.2003, не установлен, не установлен</t>
  </si>
  <si>
    <t>01
03        04
05</t>
  </si>
  <si>
    <t>11
09         10             02</t>
  </si>
  <si>
    <t>10
10</t>
  </si>
  <si>
    <t>03
04</t>
  </si>
  <si>
    <t xml:space="preserve">1) ст. 60
</t>
  </si>
  <si>
    <t>Закон Нижегородской области от 06.12.2011 № 177-З " О межбюджетных отношениях в Нижегородской области"</t>
  </si>
  <si>
    <t>ст.15</t>
  </si>
  <si>
    <t>01.01.2012, не установлен</t>
  </si>
  <si>
    <t>14</t>
  </si>
  <si>
    <t>07
07
07
04</t>
  </si>
  <si>
    <t>02
03
07
10</t>
  </si>
  <si>
    <t>1.Бюджетный кодекс Российской Федерации от 31.07.1998
2.Федеральный закон от 06.10.2003 № 131-ФЗ "Об общих принципах организации местного самоуправления в Российской Федерации"</t>
  </si>
  <si>
    <t>1.ст. 139
2. ст. 15 п.1 п.п.11</t>
  </si>
  <si>
    <t>1.03.08.1998, не установлен
2.06.10.2003, не установлен</t>
  </si>
  <si>
    <t xml:space="preserve">1) ст. 34, п. 9,
2) ст. 22, п. 2
</t>
  </si>
  <si>
    <t>1) ст. 38, абз, 1, полностью
2) ст. 6</t>
  </si>
  <si>
    <t>05
14</t>
  </si>
  <si>
    <t>03
03</t>
  </si>
  <si>
    <t>1.22 Организация библиотечного обслуживания населения межпоселенческими библиотеками, комплектование и обеспечение сохранности их библиотечных фондов</t>
  </si>
  <si>
    <t>ст.15, п.1,п.п.19, ст.4, п.1</t>
  </si>
  <si>
    <t xml:space="preserve"> Федеральный закон от 29.12.1994 №78-ФЗ</t>
  </si>
  <si>
    <t>1.23 Создание условий для обеспечения поселений, входящих в состав муниципального района, услугами по организации досуга и услугами организаций культуры</t>
  </si>
  <si>
    <t>ст.15, п.1 п.п.19.1</t>
  </si>
  <si>
    <t>08
04          08</t>
  </si>
  <si>
    <t xml:space="preserve">02
01            01      </t>
  </si>
  <si>
    <t xml:space="preserve"> Федеральный закон от 06.10.2003 № 131-ФЗ "Об общих принципах организации местного самоуправления в Российской Федерации"</t>
  </si>
  <si>
    <t>1) 06.10.2003, не установлен
2) 04.12.2009, не установлен
3) 24.07.2000, не установлен</t>
  </si>
  <si>
    <t>01         01        04
08       10        10       01
11</t>
  </si>
  <si>
    <t>04         13         10
04         01         03         02
05</t>
  </si>
  <si>
    <t>01             03           04        07        07
08        12</t>
  </si>
  <si>
    <t>13             09            12         03         07
04         01</t>
  </si>
  <si>
    <t>04
04</t>
  </si>
  <si>
    <t>12
05</t>
  </si>
  <si>
    <t xml:space="preserve">1) ст. 15, п. 1, п.п. 25
ст.6
2) ст. 11
3) ст. 16
</t>
  </si>
  <si>
    <t>3.1.5.Субвенции  на осуществление полномочий по поддержке сельскохозяйственного производства</t>
  </si>
  <si>
    <t>Закон Нижегородской области от 11.11.2005г. № 176-З "О наделении органов местного самоуправления Нижегородской области отдельными государственными полномочиями по поддержке сельскохозяйственного производства"</t>
  </si>
  <si>
    <t>ст.1 подстатья1</t>
  </si>
  <si>
    <t>01.01.206г.,"не установлена"</t>
  </si>
  <si>
    <t>3.1.12 Субвенции на возмещение части затрат на приобретение элитных семян за счет средств областного бюджета</t>
  </si>
  <si>
    <t>Постановление  Правительства   Нижегородской области от 13.02.2017г. № 63 "О порядке и условиях предоставления и распределения субсидий на содействие достижению целевых показателей государственной программы " Развитие агропромышленного комплекса Нижегородской области", источником финансового обеспечения которых являются средства федерального и областного бюджетов</t>
  </si>
  <si>
    <t>в целом</t>
  </si>
  <si>
    <t>01.01.2017г., "не установлена"</t>
  </si>
  <si>
    <t>3.1.14. Субвенции на поддержку племенного животноводства молочного направления  за счет средств областного бюджета</t>
  </si>
  <si>
    <t>01.01.2017г., "Не установлена"</t>
  </si>
  <si>
    <t>3.1.15. Субвенции на возмещение частим процентной ставки по долгосрочным, среднесрочным и краткосрочным кредитам, взятыми малыми формами хозяйствования за счет средств областного бюджета</t>
  </si>
  <si>
    <t>01.01.2017г., " не установлена"</t>
  </si>
  <si>
    <t>3.1.21. Субвенции на осуществление полномочий по организации проведения мероприятий по предепреждению и ликвидации болезней животных, их лечению, защите населения от болезней, общих для человека и животных, в части  регулирования численности безнадзорных животных</t>
  </si>
  <si>
    <t>Постановление Правительства Нижегородской области от 20.11.2013г. № 862 " об утверждении Положения о порядке и условиях предоставления и использования субвенций из средств областного бюджета бюджетам муниципальных районов городских округов Нижегородской области на осуществление отдельных государственных  полномочий по организации проведения мероприятий по предепреждению и ликвидации болезней животных, их лечению, защите населения от болезней, общих для человека и животных, в части  регулирования численности безнадзорных животных"</t>
  </si>
  <si>
    <t>01.01.2014г., " не установлена"</t>
  </si>
  <si>
    <t>3.1.23. Субвенции на возмещение части затрат сельскохозяйственных товаропроизводителей на 1 килограмм реализованного и (или) отгруженного на собственную переработку молока за счет средств федерального  бюджета</t>
  </si>
  <si>
    <t>Постановление Правительства РФ от 22.12.2012г. № 1370 "об утверждении Правил предоставления и распределения субсидий из Федерального бюджета бюджетам субъектов Российской Федерации на 1 килограмм реализованного (или) отгруженного на собственную переработку молока"</t>
  </si>
  <si>
    <t>01.01.2013г., " не установлена"</t>
  </si>
  <si>
    <t>Постановление Правительства Нижегородской области от 14.03.2013г. № 148 "об утверждении Правил о порядке предоставления средств на возмещение части затрат сельскохозяйственным товаропроизводителям на 1 килограмм реализованного  и (или) отгруженного на собственную переработку молока за счет средств областного бюджета"</t>
  </si>
  <si>
    <t>3.1.26. Субвенция на оказание несвязанной поддержки сельскохозяйственным товаропроизводителям в области растениеводства за счет средств областного бюджета</t>
  </si>
  <si>
    <t>Постановление  Правительства   Нижегородской области от 03.05.2013г. № 136 "Об утверждении Положения о порядке предоставления субсидий на оказание несвязанной поддержки сельскохозяйственным  товаропроизводителям в области растениеводства"</t>
  </si>
  <si>
    <t>3.1.28. Субвенция на возмещение части затрат на приобретение оборудования и техники  за счет средств областного бюджета</t>
  </si>
  <si>
    <t>Постановление  Правительства   Нижегородской области от 13.11.2012г. № 803 "О государственной поддержке агропромышленного комплекса Нижегородской области" в редакции ППНО № 375 от 31.05.2017г.</t>
  </si>
  <si>
    <t>3.1.30.Субвенции на возмещение части процентной ставки по инвестиционным кредитам (займам) на строительство и реконструкцию объектов для молочного скотоводства за счет средств областного бюджета</t>
  </si>
  <si>
    <t>Постановление  Правительства   Нижегородской области от 25.03.2013г. № 173 "О предоставлении субсидий из федерального и областного бюджетов на возмещение части затрат на уплату процентов по кредитам, полученным в российских кредитных организациях и  займам, полученным в сельскохозяйственных потребительких кооперативах"</t>
  </si>
  <si>
    <t>3.1.31. Субвенции на возмещение части затрат сельскохозяйственных товаропроизводителей на 1 килограмм реализованного и (или) отгруженного на собственную переработку молока за счет средств областного бюджета</t>
  </si>
  <si>
    <t>3.1.37. Субвенции на возмещение части процентной ставки по долгосрочным, среднесрочным и краткосрочным кредитам, взятыми малыми формами фозяйствования за счет средств федерального бюджета</t>
  </si>
  <si>
    <t>Постановление  Правительства  Российской Федерации от 28.12.2012г. № 1460 "Об утверждении предоставления и распределения субсидий из федерального бюджета бюджетам субъектов РФ на возмещение части затрат на уплату процентов по кредитам, полученным в российских кредитных организациях и  займам, полученным в сельскохозяйственных потребительких кооперативах"</t>
  </si>
  <si>
    <t>3.1.38.Субвенция на возмещение части процентной ставки по инвестиционным кредитам(займам) на развитие животноводства, переработки и развиия инфраструктуры  и логистического обеспечения рынков продукции животноводства за счет средств федерального бюджета</t>
  </si>
  <si>
    <t>3.1.40. Субвенции на возмещение части затрат на приобретение элитных семян за счет средств федерального  бюджета</t>
  </si>
  <si>
    <t>Постановление Правительства РФ от 12.12.2012г. № 1295 "об утверждении правил предоставления и распределения субсидий из федерального бюджета бюджетам субъектов  Российской  Федерации на возмещение отдельных подотраслей растениеводства "</t>
  </si>
  <si>
    <t>пункт 2, подпункт а</t>
  </si>
  <si>
    <t>3.1.41. Субвенции на поддержку племенного животноводства за счет средств федерального бюджета</t>
  </si>
  <si>
    <t>Постановление Правительства РФ от 04.12.2012г. № 1257 "об утверждении правил предоставления и распределения субсидий из федерального бюджета бюджетам субъектов  Российской  Федерации на поддержку животноводства "</t>
  </si>
  <si>
    <t>3.1.45. Субвенция на оказание несвязанной поддержки сельскохозяйственным товаропроизводителям в области растениеводства за счет средств федерального  бюджета</t>
  </si>
  <si>
    <t>Постановление Правительства РФ от 27.12.2012г. № 1431 "об утверждении и предоставления и распределения субсидий из федерального бюджета бюджетам субъектов  Федерации на оказание  несвязанной поддержки секльскохозяйственным товаропроизводителям растениеводства, а также в области развития семенного картофеля и овощей  открытого грунта"</t>
  </si>
  <si>
    <t>3.2. за счет собственных доходов и источников финансирования дефицита бюджета муниципального
района, всего</t>
  </si>
  <si>
    <t>1.7.участие в профилактике терроризма и экстремизма, а также в минимизации и (или) ликвидации последствий проявлений терроризма и экстремизма на территории муниципального района</t>
  </si>
  <si>
    <t xml:space="preserve"> Закон Нижегородской области от 06.07.2012 №88-З "О профилактике правонарушений в Нижегородской области"</t>
  </si>
  <si>
    <t>ст.11</t>
  </si>
  <si>
    <t>28.07.2012</t>
  </si>
  <si>
    <t xml:space="preserve">3.1.2.Субвенции на исполнение полномочий в сфере общего образования в муниципальных дошкольных образовательных организациях </t>
  </si>
  <si>
    <t>0</t>
  </si>
  <si>
    <t>3.1.6.Субвенции на осуществление полномочий по организационно-техническому и информационно-методическому сопровождению аттестации педагогических работников муниципальных и частных организаций, осуществляющих образовательную деятельность, с целью установления соответствия уровня квалификации требованиям, предъявляемым к первой квалификационной категории</t>
  </si>
  <si>
    <t>ст. 19, п. 5</t>
  </si>
  <si>
    <t>Закон Нижегородской области от 21.10.2005 № 140-З "О наделении органов местного самоуправления отдельными государственными полномочиями в области образования"</t>
  </si>
  <si>
    <t>ст. 6, п. 1</t>
  </si>
  <si>
    <t>21.10.2005, 
не установлен</t>
  </si>
  <si>
    <t xml:space="preserve">3.1.7.Субвенции на осуществление полномочий по организации и осуществлению деятельности по опеке и попечительству в отношении несовершеннолетних граждан </t>
  </si>
  <si>
    <t xml:space="preserve">Закон Нижегородской области от 07.09.2007 N 125-З "О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по организации и осуществлению деятельности по опеке и попечительству в отношении несовершеннолетних граждан" 
</t>
  </si>
  <si>
    <t>468,7</t>
  </si>
  <si>
    <t xml:space="preserve">3.1.9.Субвенции на осуществление выплаты компенсации части родительской платы за присмотр и уход за ребенком в государственных и муниципальных дошкольных образовательных организациях, частных образовательных организациях, реализующих образовательную программу дошкольного образования, в том числе обеспечение организации выплаты компенсации части родительской платы </t>
  </si>
  <si>
    <t>1) Закон Российской Федерации от 10.07.1992 № 3266-1 "Об образовании"                                                               2) Закон Российской Федерации от 29.12.2012 № 273-ФЗ "Об образовании в Российской Федерации"</t>
  </si>
  <si>
    <t>ст. 52.2, п. 3</t>
  </si>
  <si>
    <t>1) 10.07.1992,
31.12.2013
2) 01.09.2013, не установлен</t>
  </si>
  <si>
    <t>1) Постановление Правительства Нижегородской области от 15.02.2007 
№ 45 "О компенсации части родительской платы за содержание ребенка в государственных образовательных учреждениях Нижегородской области, муниципальных образовательных учреждениях, реализующих основную общеобразовательную программу дошкольного образования"                                                                                           2) Постановление Правительства Нижегородской области от 31.12.2013 № 1033 "О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образования"</t>
  </si>
  <si>
    <t>1) ст. 1, ст. 5</t>
  </si>
  <si>
    <t>1) 07.09.2007, 
02.02.2014
2) 24.01.2014, не установлен</t>
  </si>
  <si>
    <t>3.1.17.Субвенции на осуществление выплат на возмещение части расходов по приобретению путевок в детские санатории, санаторно-оздоровительные центры (лагеря) круглогодичного действия и иные организации, осуществляющие санаторно-курортное лечение детей в соответствии с имеющейся лицензией, иные организации, осуществляющие санаторно-курортную помощь детям в соответствии с имеющейся лицензией, расположенные на территории Российской Федерации</t>
  </si>
  <si>
    <t>1) Федеральный закон от 06.10.2003 № 131-ФЗ "Об общих принципах организации местного самоуправления в Российской Федерации"
2) Федеральный закон от 24.07.98 № 124-ФЗ "Об основных гарантиях прав ребенка в Российской Федерации"</t>
  </si>
  <si>
    <t>1) ст. 19
2) ст. 5, п. 2, ст. 12</t>
  </si>
  <si>
    <t>1) 06.10.2003, не установлен
2) 03.08.1998, не установлен</t>
  </si>
  <si>
    <t>1) Закон Нижегородской области от 04.12.09 № 238-З "О внесении изменений в отдельные законы Нижегородской области по вопросам организации и обеспечения оздоровления и отдыха детей"
2) Постановление Правительства Нижегородской области от 31.12.09 № 986 "О внесении изменений в некоторые постановления Правительства Нижегородской области по вопросам организации отдыха и оздоровления детей"</t>
  </si>
  <si>
    <t>1) полностью
2) полностью</t>
  </si>
  <si>
    <t>1) 01.01.2010, не установлен
2) 01.01.2010, не установлен</t>
  </si>
  <si>
    <t xml:space="preserve">1)Закон Нижегородской области от 10 декабря 2004 года N 147-З "О мерах социальной поддержки детей-сирот и детей, оставшихся без попечения родителей, а также лиц из числа детей-сирот и детей, оставшихся без попечения родителей, на территории Нижегородской области",              2) Закон Нижегородской области от 30 сентября 2008 года N 116-З "О наделении органов местного самоуправления муниципальных районов и городских округов Нижегородской области отдельными государственными полномочиями в области жилищных отношений
3) ПОСТАНОВЛЕНИЕ
от 17 июня 2011 г. N 464
"Об утверждении положения
о порядке расходования субвенций из областного
бюджета бюджетам муниципальных районов и городских округов
нижегородской области на проведение ремонта жилых помещений,
собственниками которых являются дети-сироты и дети,
оставшиеся без попечения родителей, а также лица из числа
детей-сирот и детей, оставшихся без попечения родителей,
либо жилых помещений государственного жилищного фонда,
право пользования которыми за ними сохранено, в целях
обеспечения надлежащего санитарного и технического состояния
этих жилых помещений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</si>
</sst>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[$-FC19]d\ mmmm\ yyyy\ &quot;г.&quot;"/>
    <numFmt numFmtId="180" formatCode="0.0"/>
    <numFmt numFmtId="181" formatCode="0.000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Helv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28" fillId="0" borderId="0" applyFont="0" applyFill="0" applyBorder="0" applyAlignment="0" applyProtection="0"/>
    <xf numFmtId="168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" fillId="0" borderId="0">
      <alignment/>
      <protection/>
    </xf>
    <xf numFmtId="0" fontId="43" fillId="0" borderId="0" applyNumberFormat="0" applyFill="0" applyBorder="0" applyAlignment="0" applyProtection="0"/>
    <xf numFmtId="171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35" applyFont="1" applyFill="1" applyAlignment="1">
      <alignment vertical="center"/>
      <protection/>
    </xf>
    <xf numFmtId="0" fontId="6" fillId="0" borderId="10" xfId="0" applyFont="1" applyBorder="1" applyAlignment="1">
      <alignment vertical="center" wrapText="1"/>
    </xf>
    <xf numFmtId="49" fontId="6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180" fontId="9" fillId="0" borderId="10" xfId="0" applyNumberFormat="1" applyFont="1" applyBorder="1" applyAlignment="1">
      <alignment/>
    </xf>
    <xf numFmtId="180" fontId="6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180" fontId="6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49" fontId="9" fillId="0" borderId="10" xfId="0" applyNumberFormat="1" applyFont="1" applyBorder="1" applyAlignment="1">
      <alignment wrapText="1"/>
    </xf>
    <xf numFmtId="0" fontId="9" fillId="0" borderId="10" xfId="0" applyFont="1" applyBorder="1" applyAlignment="1">
      <alignment wrapText="1"/>
    </xf>
    <xf numFmtId="49" fontId="6" fillId="0" borderId="0" xfId="0" applyNumberFormat="1" applyFont="1" applyAlignment="1">
      <alignment/>
    </xf>
    <xf numFmtId="180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180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6" fontId="6" fillId="0" borderId="0" xfId="0" applyNumberFormat="1" applyFont="1" applyAlignment="1">
      <alignment/>
    </xf>
    <xf numFmtId="4" fontId="9" fillId="0" borderId="10" xfId="0" applyNumberFormat="1" applyFont="1" applyFill="1" applyBorder="1" applyAlignment="1">
      <alignment horizontal="center" vertical="center"/>
    </xf>
    <xf numFmtId="18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/>
    </xf>
    <xf numFmtId="49" fontId="9" fillId="3" borderId="10" xfId="0" applyNumberFormat="1" applyFont="1" applyFill="1" applyBorder="1" applyAlignment="1">
      <alignment horizontal="center" vertical="center" wrapText="1"/>
    </xf>
    <xf numFmtId="4" fontId="9" fillId="3" borderId="10" xfId="0" applyNumberFormat="1" applyFont="1" applyFill="1" applyBorder="1" applyAlignment="1">
      <alignment horizontal="center" vertical="center" wrapText="1"/>
    </xf>
    <xf numFmtId="4" fontId="9" fillId="3" borderId="10" xfId="0" applyNumberFormat="1" applyFont="1" applyFill="1" applyBorder="1" applyAlignment="1">
      <alignment horizontal="center" vertical="center"/>
    </xf>
    <xf numFmtId="4" fontId="6" fillId="3" borderId="10" xfId="0" applyNumberFormat="1" applyFont="1" applyFill="1" applyBorder="1" applyAlignment="1">
      <alignment horizontal="center" vertical="center"/>
    </xf>
    <xf numFmtId="180" fontId="6" fillId="3" borderId="10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 wrapText="1"/>
    </xf>
    <xf numFmtId="0" fontId="6" fillId="3" borderId="0" xfId="0" applyFont="1" applyFill="1" applyAlignment="1">
      <alignment/>
    </xf>
    <xf numFmtId="0" fontId="5" fillId="33" borderId="10" xfId="0" applyFont="1" applyFill="1" applyBorder="1" applyAlignment="1">
      <alignment vertical="center" wrapText="1"/>
    </xf>
    <xf numFmtId="0" fontId="2" fillId="33" borderId="0" xfId="0" applyNumberFormat="1" applyFont="1" applyFill="1" applyBorder="1" applyAlignment="1" applyProtection="1">
      <alignment vertical="center"/>
      <protection/>
    </xf>
    <xf numFmtId="172" fontId="2" fillId="33" borderId="0" xfId="0" applyNumberFormat="1" applyFont="1" applyFill="1" applyBorder="1" applyAlignment="1" applyProtection="1">
      <alignment vertical="center"/>
      <protection/>
    </xf>
    <xf numFmtId="0" fontId="5" fillId="33" borderId="10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/>
    </xf>
    <xf numFmtId="0" fontId="7" fillId="33" borderId="0" xfId="0" applyNumberFormat="1" applyFont="1" applyFill="1" applyBorder="1" applyAlignment="1" applyProtection="1">
      <alignment vertical="center" wrapText="1"/>
      <protection/>
    </xf>
    <xf numFmtId="0" fontId="5" fillId="33" borderId="0" xfId="0" applyFont="1" applyFill="1" applyAlignment="1">
      <alignment vertical="top"/>
    </xf>
    <xf numFmtId="0" fontId="5" fillId="33" borderId="10" xfId="0" applyNumberFormat="1" applyFont="1" applyFill="1" applyBorder="1" applyAlignment="1" applyProtection="1">
      <alignment vertical="center" wrapText="1"/>
      <protection/>
    </xf>
    <xf numFmtId="0" fontId="5" fillId="33" borderId="11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10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80" fontId="5" fillId="33" borderId="10" xfId="0" applyNumberFormat="1" applyFont="1" applyFill="1" applyBorder="1" applyAlignment="1">
      <alignment horizontal="center" vertical="center"/>
    </xf>
    <xf numFmtId="172" fontId="5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80" fontId="5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justify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2" fontId="5" fillId="33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top" wrapText="1"/>
    </xf>
    <xf numFmtId="172" fontId="5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49" fontId="5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left"/>
    </xf>
    <xf numFmtId="0" fontId="5" fillId="0" borderId="12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left" vertical="top" wrapText="1"/>
    </xf>
    <xf numFmtId="49" fontId="5" fillId="0" borderId="12" xfId="0" applyNumberFormat="1" applyFont="1" applyFill="1" applyBorder="1" applyAlignment="1">
      <alignment horizontal="left"/>
    </xf>
    <xf numFmtId="0" fontId="5" fillId="34" borderId="12" xfId="0" applyNumberFormat="1" applyFont="1" applyFill="1" applyBorder="1" applyAlignment="1">
      <alignment horizontal="left" vertical="top" wrapText="1"/>
    </xf>
    <xf numFmtId="49" fontId="5" fillId="34" borderId="10" xfId="0" applyNumberFormat="1" applyFont="1" applyFill="1" applyBorder="1" applyAlignment="1">
      <alignment horizontal="left"/>
    </xf>
    <xf numFmtId="49" fontId="5" fillId="34" borderId="10" xfId="0" applyNumberFormat="1" applyFont="1" applyFill="1" applyBorder="1" applyAlignment="1">
      <alignment horizontal="left" wrapText="1"/>
    </xf>
    <xf numFmtId="49" fontId="5" fillId="34" borderId="12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5" fillId="34" borderId="10" xfId="60" applyNumberFormat="1" applyFont="1" applyFill="1" applyBorder="1" applyAlignment="1" applyProtection="1">
      <alignment horizontal="left" vertical="center" wrapText="1" shrinkToFit="1"/>
      <protection locked="0"/>
    </xf>
    <xf numFmtId="0" fontId="5" fillId="0" borderId="10" xfId="0" applyNumberFormat="1" applyFont="1" applyFill="1" applyBorder="1" applyAlignment="1" applyProtection="1">
      <alignment horizontal="left" vertical="top" wrapText="1" readingOrder="1"/>
      <protection locked="0"/>
    </xf>
    <xf numFmtId="0" fontId="5" fillId="0" borderId="10" xfId="0" applyNumberFormat="1" applyFont="1" applyFill="1" applyBorder="1" applyAlignment="1" applyProtection="1">
      <alignment horizontal="left" vertical="top" wrapText="1" shrinkToFit="1" readingOrder="1"/>
      <protection locked="0"/>
    </xf>
    <xf numFmtId="49" fontId="5" fillId="34" borderId="10" xfId="60" applyNumberFormat="1" applyFont="1" applyFill="1" applyBorder="1" applyAlignment="1" applyProtection="1">
      <alignment horizontal="center" vertical="center" wrapText="1" shrinkToFit="1"/>
      <protection locked="0"/>
    </xf>
    <xf numFmtId="2" fontId="5" fillId="34" borderId="10" xfId="6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0" xfId="60" applyNumberFormat="1" applyFont="1" applyFill="1" applyBorder="1" applyAlignment="1" applyProtection="1">
      <alignment vertical="top" wrapText="1" shrinkToFit="1"/>
      <protection locked="0"/>
    </xf>
    <xf numFmtId="14" fontId="5" fillId="0" borderId="10" xfId="60" applyNumberFormat="1" applyFont="1" applyFill="1" applyBorder="1" applyAlignment="1" applyProtection="1">
      <alignment horizontal="left" vertical="top" wrapText="1" readingOrder="1"/>
      <protection locked="0"/>
    </xf>
    <xf numFmtId="14" fontId="5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9" fontId="5" fillId="34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0" borderId="10" xfId="0" applyFont="1" applyBorder="1" applyAlignment="1">
      <alignment horizontal="center" vertical="center" wrapText="1"/>
    </xf>
    <xf numFmtId="180" fontId="5" fillId="0" borderId="10" xfId="0" applyNumberFormat="1" applyFont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34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180" fontId="8" fillId="34" borderId="10" xfId="0" applyNumberFormat="1" applyFont="1" applyFill="1" applyBorder="1" applyAlignment="1">
      <alignment horizontal="center" vertical="center" wrapText="1"/>
    </xf>
    <xf numFmtId="180" fontId="8" fillId="0" borderId="13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>
      <alignment horizontal="justify" vertical="center" wrapText="1"/>
    </xf>
    <xf numFmtId="0" fontId="10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14" fontId="5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3" borderId="10" xfId="0" applyNumberFormat="1" applyFont="1" applyFill="1" applyBorder="1" applyAlignment="1">
      <alignment horizontal="justify" vertical="center" wrapText="1"/>
    </xf>
    <xf numFmtId="0" fontId="5" fillId="33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8" fillId="33" borderId="10" xfId="0" applyFont="1" applyFill="1" applyBorder="1" applyAlignment="1">
      <alignment horizontal="justify" vertical="center" wrapText="1"/>
    </xf>
    <xf numFmtId="0" fontId="5" fillId="33" borderId="10" xfId="60" applyNumberFormat="1" applyFont="1" applyFill="1" applyBorder="1" applyAlignment="1" applyProtection="1">
      <alignment horizontal="left" vertical="center" wrapText="1" shrinkToFit="1"/>
      <protection locked="0"/>
    </xf>
    <xf numFmtId="0" fontId="5" fillId="33" borderId="10" xfId="60" applyNumberFormat="1" applyFont="1" applyFill="1" applyBorder="1" applyAlignment="1" applyProtection="1">
      <alignment horizontal="center" vertical="center" wrapText="1" shrinkToFit="1"/>
      <protection locked="0"/>
    </xf>
    <xf numFmtId="14" fontId="5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 readingOrder="1"/>
      <protection locked="0"/>
    </xf>
    <xf numFmtId="0" fontId="5" fillId="33" borderId="10" xfId="0" applyNumberFormat="1" applyFont="1" applyFill="1" applyBorder="1" applyAlignment="1" applyProtection="1">
      <alignment horizontal="left" vertical="top" wrapText="1" shrinkToFit="1" readingOrder="1"/>
      <protection locked="0"/>
    </xf>
    <xf numFmtId="14" fontId="5" fillId="33" borderId="10" xfId="60" applyNumberFormat="1" applyFont="1" applyFill="1" applyBorder="1" applyAlignment="1" applyProtection="1">
      <alignment horizontal="left" vertical="top" wrapText="1" readingOrder="1"/>
      <protection locked="0"/>
    </xf>
    <xf numFmtId="14" fontId="5" fillId="33" borderId="10" xfId="60" applyNumberFormat="1" applyFont="1" applyFill="1" applyBorder="1" applyAlignment="1" applyProtection="1">
      <alignment horizontal="center" vertical="center" wrapText="1" shrinkToFit="1"/>
      <protection locked="0"/>
    </xf>
    <xf numFmtId="14" fontId="5" fillId="33" borderId="10" xfId="0" applyNumberFormat="1" applyFont="1" applyFill="1" applyBorder="1" applyAlignment="1" applyProtection="1">
      <alignment horizontal="left" vertical="top" wrapText="1" shrinkToFit="1" readingOrder="1"/>
      <protection locked="0"/>
    </xf>
    <xf numFmtId="0" fontId="5" fillId="33" borderId="11" xfId="0" applyFont="1" applyFill="1" applyBorder="1" applyAlignment="1">
      <alignment horizontal="justify" vertical="center" wrapText="1"/>
    </xf>
    <xf numFmtId="0" fontId="8" fillId="33" borderId="11" xfId="0" applyFont="1" applyFill="1" applyBorder="1" applyAlignment="1">
      <alignment vertical="top" wrapText="1"/>
    </xf>
    <xf numFmtId="49" fontId="5" fillId="33" borderId="10" xfId="0" applyNumberFormat="1" applyFont="1" applyFill="1" applyBorder="1" applyAlignment="1">
      <alignment horizontal="left"/>
    </xf>
    <xf numFmtId="49" fontId="45" fillId="33" borderId="10" xfId="0" applyNumberFormat="1" applyFont="1" applyFill="1" applyBorder="1" applyAlignment="1">
      <alignment horizontal="justify" vertical="center" wrapText="1"/>
    </xf>
    <xf numFmtId="0" fontId="5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2" fillId="33" borderId="10" xfId="35" applyFont="1" applyFill="1" applyBorder="1" applyAlignment="1">
      <alignment horizontal="center" vertical="center"/>
      <protection/>
    </xf>
    <xf numFmtId="0" fontId="2" fillId="33" borderId="0" xfId="35" applyFont="1" applyFill="1" applyAlignment="1">
      <alignment vertical="center"/>
      <protection/>
    </xf>
    <xf numFmtId="0" fontId="7" fillId="33" borderId="0" xfId="0" applyNumberFormat="1" applyFont="1" applyFill="1" applyBorder="1" applyAlignment="1" applyProtection="1">
      <alignment horizontal="center" vertical="center" wrapText="1"/>
      <protection/>
    </xf>
    <xf numFmtId="49" fontId="7" fillId="33" borderId="0" xfId="0" applyNumberFormat="1" applyFont="1" applyFill="1" applyBorder="1" applyAlignment="1" applyProtection="1">
      <alignment horizontal="center" vertical="center" wrapText="1"/>
      <protection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NumberFormat="1" applyFont="1" applyFill="1" applyBorder="1" applyAlignment="1" applyProtection="1">
      <alignment horizontal="center" vertical="center" wrapText="1"/>
      <protection/>
    </xf>
    <xf numFmtId="172" fontId="2" fillId="33" borderId="0" xfId="35" applyNumberFormat="1" applyFont="1" applyFill="1" applyAlignment="1">
      <alignment vertical="center"/>
      <protection/>
    </xf>
    <xf numFmtId="49" fontId="5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3" borderId="10" xfId="60" applyNumberFormat="1" applyFont="1" applyFill="1" applyBorder="1" applyAlignment="1" applyProtection="1">
      <alignment horizontal="center" vertical="center" wrapText="1" shrinkToFit="1"/>
      <protection locked="0"/>
    </xf>
    <xf numFmtId="2" fontId="8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45" fillId="33" borderId="10" xfId="60" applyNumberFormat="1" applyFont="1" applyFill="1" applyBorder="1" applyAlignment="1" applyProtection="1">
      <alignment horizontal="center" vertical="center" wrapText="1" shrinkToFit="1"/>
      <protection locked="0"/>
    </xf>
    <xf numFmtId="180" fontId="8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180" fontId="5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80" fontId="5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180" fontId="8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2" fontId="5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3" borderId="10" xfId="35" applyFont="1" applyFill="1" applyBorder="1" applyAlignment="1">
      <alignment horizontal="center" vertical="center" wrapText="1"/>
      <protection/>
    </xf>
    <xf numFmtId="49" fontId="5" fillId="33" borderId="10" xfId="35" applyNumberFormat="1" applyFont="1" applyFill="1" applyBorder="1" applyAlignment="1">
      <alignment horizontal="center" vertical="center" wrapText="1"/>
      <protection/>
    </xf>
    <xf numFmtId="172" fontId="8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172" fontId="8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172" fontId="5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5" fillId="33" borderId="10" xfId="35" applyNumberFormat="1" applyFont="1" applyFill="1" applyBorder="1" applyAlignment="1">
      <alignment horizontal="center" vertical="center"/>
      <protection/>
    </xf>
    <xf numFmtId="172" fontId="8" fillId="33" borderId="10" xfId="35" applyNumberFormat="1" applyFont="1" applyFill="1" applyBorder="1" applyAlignment="1">
      <alignment horizontal="center" vertical="center"/>
      <protection/>
    </xf>
    <xf numFmtId="0" fontId="2" fillId="35" borderId="0" xfId="35" applyFont="1" applyFill="1" applyAlignment="1" applyProtection="1">
      <alignment vertical="center" wrapText="1"/>
      <protection locked="0"/>
    </xf>
    <xf numFmtId="0" fontId="2" fillId="35" borderId="0" xfId="35" applyFont="1" applyFill="1" applyAlignment="1" applyProtection="1">
      <alignment horizontal="center" vertical="center"/>
      <protection locked="0"/>
    </xf>
    <xf numFmtId="49" fontId="2" fillId="35" borderId="0" xfId="35" applyNumberFormat="1" applyFont="1" applyFill="1" applyAlignment="1" applyProtection="1">
      <alignment horizontal="center" vertical="center"/>
      <protection locked="0"/>
    </xf>
    <xf numFmtId="0" fontId="2" fillId="33" borderId="0" xfId="35" applyFont="1" applyFill="1" applyAlignment="1" applyProtection="1">
      <alignment horizontal="center" vertical="center"/>
      <protection locked="0"/>
    </xf>
    <xf numFmtId="0" fontId="7" fillId="35" borderId="0" xfId="35" applyFont="1" applyFill="1" applyAlignment="1" applyProtection="1">
      <alignment horizontal="center" vertical="center"/>
      <protection locked="0"/>
    </xf>
    <xf numFmtId="0" fontId="7" fillId="35" borderId="0" xfId="35" applyFont="1" applyFill="1" applyAlignment="1">
      <alignment horizontal="center" vertical="center"/>
      <protection/>
    </xf>
    <xf numFmtId="0" fontId="2" fillId="35" borderId="0" xfId="35" applyFont="1" applyFill="1" applyAlignment="1">
      <alignment horizontal="center" vertical="center"/>
      <protection/>
    </xf>
    <xf numFmtId="0" fontId="2" fillId="35" borderId="0" xfId="35" applyFont="1" applyFill="1" applyAlignment="1">
      <alignment vertical="center" wrapText="1"/>
      <protection/>
    </xf>
    <xf numFmtId="49" fontId="2" fillId="35" borderId="0" xfId="35" applyNumberFormat="1" applyFont="1" applyFill="1" applyAlignment="1">
      <alignment horizontal="center" vertical="center"/>
      <protection/>
    </xf>
    <xf numFmtId="0" fontId="2" fillId="33" borderId="0" xfId="35" applyFont="1" applyFill="1" applyAlignment="1">
      <alignment horizontal="center" vertical="center"/>
      <protection/>
    </xf>
    <xf numFmtId="0" fontId="5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33" borderId="14" xfId="0" applyFont="1" applyFill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 applyProtection="1">
      <alignment horizontal="center" vertical="center" wrapText="1"/>
      <protection/>
    </xf>
    <xf numFmtId="49" fontId="11" fillId="33" borderId="10" xfId="0" applyNumberFormat="1" applyFont="1" applyFill="1" applyBorder="1" applyAlignment="1">
      <alignment horizontal="center" vertical="center" wrapText="1"/>
    </xf>
    <xf numFmtId="49" fontId="5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1" fillId="33" borderId="14" xfId="0" applyNumberFormat="1" applyFont="1" applyFill="1" applyBorder="1" applyAlignment="1">
      <alignment horizontal="center" vertical="center" wrapText="1" shrinkToFit="1"/>
    </xf>
    <xf numFmtId="14" fontId="5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3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2" fontId="8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2" fontId="8" fillId="33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11" fillId="33" borderId="15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horizontal="left" vertical="top" wrapText="1"/>
    </xf>
    <xf numFmtId="0" fontId="8" fillId="33" borderId="14" xfId="0" applyFont="1" applyFill="1" applyBorder="1" applyAlignment="1">
      <alignment horizontal="left" vertical="top" wrapText="1"/>
    </xf>
    <xf numFmtId="0" fontId="5" fillId="33" borderId="12" xfId="0" applyNumberFormat="1" applyFont="1" applyFill="1" applyBorder="1" applyAlignment="1" applyProtection="1">
      <alignment horizontal="left" vertical="center" wrapText="1" shrinkToFit="1"/>
      <protection locked="0"/>
    </xf>
    <xf numFmtId="0" fontId="11" fillId="33" borderId="14" xfId="0" applyFont="1" applyFill="1" applyBorder="1" applyAlignment="1">
      <alignment horizontal="left" vertical="center" wrapText="1" shrinkToFit="1"/>
    </xf>
    <xf numFmtId="2" fontId="11" fillId="33" borderId="14" xfId="0" applyNumberFormat="1" applyFont="1" applyFill="1" applyBorder="1" applyAlignment="1">
      <alignment horizontal="center" vertical="center" wrapText="1" shrinkToFit="1"/>
    </xf>
    <xf numFmtId="180" fontId="5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180" fontId="11" fillId="33" borderId="14" xfId="0" applyNumberFormat="1" applyFont="1" applyFill="1" applyBorder="1" applyAlignment="1">
      <alignment horizontal="center" vertical="center" wrapText="1" shrinkToFit="1"/>
    </xf>
    <xf numFmtId="180" fontId="5" fillId="33" borderId="14" xfId="0" applyNumberFormat="1" applyFont="1" applyFill="1" applyBorder="1" applyAlignment="1" applyProtection="1">
      <alignment horizontal="center" vertical="center" wrapText="1" shrinkToFit="1"/>
      <protection locked="0"/>
    </xf>
    <xf numFmtId="180" fontId="8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180" fontId="8" fillId="33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3" borderId="0" xfId="0" applyNumberFormat="1" applyFont="1" applyFill="1" applyBorder="1" applyAlignment="1" applyProtection="1">
      <alignment horizontal="left" vertical="center" wrapText="1"/>
      <protection/>
    </xf>
    <xf numFmtId="2" fontId="5" fillId="33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5" borderId="0" xfId="35" applyFont="1" applyFill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5" fillId="0" borderId="12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 wrapText="1"/>
    </xf>
    <xf numFmtId="0" fontId="5" fillId="33" borderId="14" xfId="0" applyNumberFormat="1" applyFont="1" applyFill="1" applyBorder="1" applyAlignment="1" applyProtection="1">
      <alignment horizontal="left" vertical="center" wrapText="1" shrinkToFit="1"/>
      <protection locked="0"/>
    </xf>
    <xf numFmtId="49" fontId="5" fillId="33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0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6" xfId="0" applyNumberFormat="1" applyFont="1" applyBorder="1" applyAlignment="1">
      <alignment horizontal="center"/>
    </xf>
  </cellXfs>
  <cellStyles count="51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TMP_1" xfId="34"/>
    <cellStyle name="Normal_TMP_2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ifo8\d\Larisa\&#1056;&#1056;&#1054;%20&#1080;&#1102;&#1083;&#1100;%202013(&#1084;&#1086;&#1089;&#1082;&#1074;&#1072;)\&#1060;&#1086;&#1088;&#1084;&#1072;_&#1088;&#1072;&#1073;&#1086;&#1095;&#1072;&#1103;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РРО"/>
      <sheetName val="СВОД"/>
      <sheetName val="СВОД_без формул"/>
      <sheetName val="Ардатовский"/>
      <sheetName val="Арзамасский"/>
      <sheetName val="Б-Болдинский"/>
      <sheetName val="Б-Мурашкинский"/>
      <sheetName val="Бутурлинский"/>
      <sheetName val="Вадский"/>
      <sheetName val="Варнавинский"/>
      <sheetName val="Вачский"/>
      <sheetName val="Ветлужский"/>
      <sheetName val="Вознесенский"/>
      <sheetName val="Воротынский"/>
      <sheetName val="Воскресенский"/>
      <sheetName val="Гагинский"/>
      <sheetName val="Володарский"/>
      <sheetName val="Д-Константиновский"/>
      <sheetName val="Дивеевский"/>
      <sheetName val="Княгининский"/>
      <sheetName val="Ковернинский"/>
      <sheetName val="Кр-Баковский"/>
      <sheetName val="Кр-Октябрьский"/>
      <sheetName val="Лукояновский"/>
      <sheetName val="Лысковский"/>
      <sheetName val="Навашинский"/>
      <sheetName val="Первомайский"/>
      <sheetName val="Перевозский"/>
      <sheetName val="Пильнинский"/>
      <sheetName val="Починковский"/>
      <sheetName val="г.о. Семеновский"/>
      <sheetName val="Сергачский"/>
      <sheetName val="Сеченовский"/>
      <sheetName val="Сосновский"/>
      <sheetName val="Спасский"/>
      <sheetName val="Тонкинский"/>
      <sheetName val="Тоншаевский"/>
      <sheetName val="Уренский"/>
      <sheetName val="Чкаловский"/>
      <sheetName val="Шарангский"/>
      <sheetName val="Шатковский"/>
      <sheetName val="Шахунский"/>
      <sheetName val="Сокольский"/>
      <sheetName val="г.Арзамас"/>
      <sheetName val="Балахнинский"/>
      <sheetName val="Богородский"/>
      <sheetName val="г.Бор"/>
      <sheetName val="г.Выкса"/>
      <sheetName val="Городецкий"/>
      <sheetName val="Дзержинск"/>
      <sheetName val="Кстовский"/>
      <sheetName val="Кулебакский"/>
      <sheetName val="Павловский"/>
      <sheetName val="г.Н.Новгород"/>
      <sheetName val="г.Саро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01"/>
  <sheetViews>
    <sheetView showZeros="0" tabSelected="1" view="pageBreakPreview" zoomScaleNormal="73" zoomScaleSheetLayoutView="100" zoomScalePageLayoutView="0" workbookViewId="0" topLeftCell="A1">
      <pane xSplit="3" ySplit="8" topLeftCell="D9" activePane="bottomRight" state="frozen"/>
      <selection pane="topLeft" activeCell="Q221" sqref="Q221"/>
      <selection pane="topRight" activeCell="Q221" sqref="Q221"/>
      <selection pane="bottomLeft" activeCell="Q221" sqref="Q221"/>
      <selection pane="bottomRight" activeCell="O13" sqref="O13"/>
    </sheetView>
  </sheetViews>
  <sheetFormatPr defaultColWidth="9.00390625" defaultRowHeight="12.75"/>
  <cols>
    <col min="1" max="1" width="0" style="1" hidden="1" customWidth="1"/>
    <col min="2" max="2" width="1.25" style="1" hidden="1" customWidth="1"/>
    <col min="3" max="3" width="24.625" style="155" customWidth="1"/>
    <col min="4" max="4" width="25.625" style="154" customWidth="1"/>
    <col min="5" max="5" width="8.625" style="154" customWidth="1"/>
    <col min="6" max="6" width="9.00390625" style="154" customWidth="1"/>
    <col min="7" max="7" width="27.25390625" style="154" customWidth="1"/>
    <col min="8" max="9" width="7.375" style="154" customWidth="1"/>
    <col min="10" max="10" width="7.25390625" style="156" customWidth="1"/>
    <col min="11" max="11" width="8.00390625" style="156" customWidth="1"/>
    <col min="12" max="12" width="9.375" style="154" customWidth="1"/>
    <col min="13" max="13" width="9.875" style="157" customWidth="1"/>
    <col min="14" max="14" width="9.625" style="157" customWidth="1"/>
    <col min="15" max="15" width="9.375" style="153" customWidth="1"/>
    <col min="16" max="16" width="8.75390625" style="154" customWidth="1"/>
    <col min="17" max="17" width="7.625" style="154" customWidth="1"/>
    <col min="18" max="18" width="8.375" style="153" customWidth="1"/>
    <col min="19" max="19" width="9.75390625" style="154" customWidth="1"/>
    <col min="20" max="20" width="7.125" style="154" customWidth="1"/>
    <col min="21" max="21" width="8.75390625" style="153" customWidth="1"/>
    <col min="22" max="22" width="9.00390625" style="154" customWidth="1"/>
    <col min="23" max="23" width="7.125" style="154" customWidth="1"/>
    <col min="24" max="24" width="9.875" style="1" customWidth="1"/>
    <col min="25" max="25" width="14.625" style="1" customWidth="1"/>
    <col min="26" max="26" width="13.25390625" style="1" customWidth="1"/>
    <col min="27" max="27" width="15.875" style="1" customWidth="1"/>
    <col min="28" max="28" width="14.75390625" style="1" customWidth="1"/>
    <col min="29" max="29" width="13.25390625" style="1" customWidth="1"/>
    <col min="30" max="30" width="16.625" style="1" customWidth="1"/>
    <col min="31" max="16384" width="9.125" style="1" customWidth="1"/>
  </cols>
  <sheetData>
    <row r="1" spans="1:24" s="124" customFormat="1" ht="11.25">
      <c r="A1" s="38" t="s">
        <v>0</v>
      </c>
      <c r="B1" s="166" t="s">
        <v>330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38"/>
    </row>
    <row r="2" spans="1:24" s="124" customFormat="1" ht="6" customHeight="1">
      <c r="A2" s="38"/>
      <c r="B2" s="42"/>
      <c r="C2" s="125"/>
      <c r="D2" s="125"/>
      <c r="E2" s="125"/>
      <c r="F2" s="125"/>
      <c r="G2" s="125"/>
      <c r="H2" s="125"/>
      <c r="I2" s="125"/>
      <c r="J2" s="126"/>
      <c r="K2" s="126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38"/>
    </row>
    <row r="3" spans="1:24" s="124" customFormat="1" ht="15.75" customHeight="1">
      <c r="A3" s="38"/>
      <c r="B3" s="42"/>
      <c r="C3" s="43" t="s">
        <v>269</v>
      </c>
      <c r="D3" s="125"/>
      <c r="E3" s="125"/>
      <c r="F3" s="125"/>
      <c r="G3" s="125"/>
      <c r="H3" s="185"/>
      <c r="I3" s="185"/>
      <c r="J3" s="185"/>
      <c r="K3" s="185"/>
      <c r="L3" s="18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38"/>
    </row>
    <row r="4" spans="1:24" s="124" customFormat="1" ht="18" customHeight="1">
      <c r="A4" s="38"/>
      <c r="B4" s="42"/>
      <c r="C4" s="43" t="s">
        <v>270</v>
      </c>
      <c r="D4" s="125"/>
      <c r="E4" s="125"/>
      <c r="F4" s="125"/>
      <c r="G4" s="125"/>
      <c r="H4" s="125"/>
      <c r="I4" s="125"/>
      <c r="J4" s="126"/>
      <c r="K4" s="126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38"/>
    </row>
    <row r="5" spans="1:24" s="124" customFormat="1" ht="24.75" customHeight="1">
      <c r="A5" s="38"/>
      <c r="B5" s="167" t="s">
        <v>14</v>
      </c>
      <c r="C5" s="167"/>
      <c r="D5" s="167" t="s">
        <v>20</v>
      </c>
      <c r="E5" s="167"/>
      <c r="F5" s="167"/>
      <c r="G5" s="167"/>
      <c r="H5" s="167"/>
      <c r="I5" s="167"/>
      <c r="J5" s="160" t="s">
        <v>13</v>
      </c>
      <c r="K5" s="161"/>
      <c r="L5" s="167" t="s">
        <v>17</v>
      </c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38"/>
    </row>
    <row r="6" spans="1:24" s="124" customFormat="1" ht="27" customHeight="1">
      <c r="A6" s="38" t="s">
        <v>1</v>
      </c>
      <c r="B6" s="167"/>
      <c r="C6" s="167"/>
      <c r="D6" s="167" t="s">
        <v>10</v>
      </c>
      <c r="E6" s="167"/>
      <c r="F6" s="167"/>
      <c r="G6" s="167" t="s">
        <v>264</v>
      </c>
      <c r="H6" s="167"/>
      <c r="I6" s="167"/>
      <c r="J6" s="161"/>
      <c r="K6" s="161"/>
      <c r="L6" s="167" t="s">
        <v>305</v>
      </c>
      <c r="M6" s="167"/>
      <c r="N6" s="187" t="s">
        <v>306</v>
      </c>
      <c r="O6" s="170" t="s">
        <v>307</v>
      </c>
      <c r="P6" s="171"/>
      <c r="Q6" s="172"/>
      <c r="R6" s="173">
        <v>2021</v>
      </c>
      <c r="S6" s="171"/>
      <c r="T6" s="172"/>
      <c r="U6" s="173">
        <v>2022</v>
      </c>
      <c r="V6" s="171"/>
      <c r="W6" s="172"/>
      <c r="X6" s="38"/>
    </row>
    <row r="7" spans="1:24" s="124" customFormat="1" ht="75" customHeight="1">
      <c r="A7" s="38" t="s">
        <v>2</v>
      </c>
      <c r="B7" s="167"/>
      <c r="C7" s="167"/>
      <c r="D7" s="62" t="s">
        <v>8</v>
      </c>
      <c r="E7" s="62" t="s">
        <v>9</v>
      </c>
      <c r="F7" s="62" t="s">
        <v>3</v>
      </c>
      <c r="G7" s="62" t="s">
        <v>8</v>
      </c>
      <c r="H7" s="62" t="s">
        <v>9</v>
      </c>
      <c r="I7" s="62" t="s">
        <v>3</v>
      </c>
      <c r="J7" s="127" t="s">
        <v>15</v>
      </c>
      <c r="K7" s="127" t="s">
        <v>16</v>
      </c>
      <c r="L7" s="62" t="s">
        <v>11</v>
      </c>
      <c r="M7" s="62" t="s">
        <v>12</v>
      </c>
      <c r="N7" s="188"/>
      <c r="O7" s="62" t="s">
        <v>252</v>
      </c>
      <c r="P7" s="62" t="s">
        <v>253</v>
      </c>
      <c r="Q7" s="62" t="s">
        <v>254</v>
      </c>
      <c r="R7" s="62" t="s">
        <v>252</v>
      </c>
      <c r="S7" s="62" t="s">
        <v>253</v>
      </c>
      <c r="T7" s="62" t="s">
        <v>254</v>
      </c>
      <c r="U7" s="62" t="s">
        <v>252</v>
      </c>
      <c r="V7" s="62" t="s">
        <v>253</v>
      </c>
      <c r="W7" s="62" t="s">
        <v>254</v>
      </c>
      <c r="X7" s="38"/>
    </row>
    <row r="8" spans="1:24" s="124" customFormat="1" ht="19.5" customHeight="1">
      <c r="A8" s="38" t="s">
        <v>4</v>
      </c>
      <c r="B8" s="44"/>
      <c r="C8" s="62">
        <v>1</v>
      </c>
      <c r="D8" s="62">
        <v>2</v>
      </c>
      <c r="E8" s="62">
        <v>3</v>
      </c>
      <c r="F8" s="62">
        <v>4</v>
      </c>
      <c r="G8" s="62">
        <v>5</v>
      </c>
      <c r="H8" s="62">
        <v>6</v>
      </c>
      <c r="I8" s="62">
        <v>7</v>
      </c>
      <c r="J8" s="127" t="s">
        <v>4</v>
      </c>
      <c r="K8" s="127" t="s">
        <v>251</v>
      </c>
      <c r="L8" s="62">
        <v>10</v>
      </c>
      <c r="M8" s="62">
        <v>11</v>
      </c>
      <c r="N8" s="62">
        <v>12</v>
      </c>
      <c r="O8" s="128">
        <v>13</v>
      </c>
      <c r="P8" s="62">
        <v>14</v>
      </c>
      <c r="Q8" s="62">
        <v>15</v>
      </c>
      <c r="R8" s="62">
        <v>16</v>
      </c>
      <c r="S8" s="62">
        <v>17</v>
      </c>
      <c r="T8" s="62">
        <v>18</v>
      </c>
      <c r="U8" s="62">
        <v>19</v>
      </c>
      <c r="V8" s="62">
        <v>20</v>
      </c>
      <c r="W8" s="62">
        <v>21</v>
      </c>
      <c r="X8" s="38"/>
    </row>
    <row r="9" spans="1:28" s="124" customFormat="1" ht="40.5" customHeight="1">
      <c r="A9" s="38" t="s">
        <v>5</v>
      </c>
      <c r="B9" s="174"/>
      <c r="C9" s="175" t="s">
        <v>227</v>
      </c>
      <c r="D9" s="158" t="s">
        <v>19</v>
      </c>
      <c r="E9" s="158" t="s">
        <v>19</v>
      </c>
      <c r="F9" s="158" t="s">
        <v>19</v>
      </c>
      <c r="G9" s="158" t="s">
        <v>19</v>
      </c>
      <c r="H9" s="158" t="s">
        <v>19</v>
      </c>
      <c r="I9" s="158" t="s">
        <v>19</v>
      </c>
      <c r="J9" s="162" t="s">
        <v>19</v>
      </c>
      <c r="K9" s="162" t="s">
        <v>19</v>
      </c>
      <c r="L9" s="168">
        <f>L11</f>
        <v>96002.8</v>
      </c>
      <c r="M9" s="168">
        <f>M11</f>
        <v>90649.1</v>
      </c>
      <c r="N9" s="168">
        <f>N11</f>
        <v>180720.69999999995</v>
      </c>
      <c r="O9" s="168">
        <f>P9+Q9</f>
        <v>182758.8</v>
      </c>
      <c r="P9" s="168">
        <f>P11</f>
        <v>155610.9</v>
      </c>
      <c r="Q9" s="168">
        <f>Q11</f>
        <v>27147.899999999998</v>
      </c>
      <c r="R9" s="168">
        <f>S9+T9</f>
        <v>123899.8</v>
      </c>
      <c r="S9" s="168">
        <f>S11</f>
        <v>123899.8</v>
      </c>
      <c r="T9" s="168">
        <f>T11</f>
        <v>0</v>
      </c>
      <c r="U9" s="168">
        <f>V9+W9</f>
        <v>125977.5</v>
      </c>
      <c r="V9" s="168">
        <f>V11</f>
        <v>125977.5</v>
      </c>
      <c r="W9" s="168">
        <f>W11</f>
        <v>0</v>
      </c>
      <c r="X9" s="38"/>
      <c r="Y9" s="129"/>
      <c r="Z9" s="129"/>
      <c r="AA9" s="129"/>
      <c r="AB9" s="129"/>
    </row>
    <row r="10" spans="1:33" s="124" customFormat="1" ht="61.5" customHeight="1">
      <c r="A10" s="38" t="s">
        <v>6</v>
      </c>
      <c r="B10" s="174"/>
      <c r="C10" s="176"/>
      <c r="D10" s="159"/>
      <c r="E10" s="159"/>
      <c r="F10" s="159"/>
      <c r="G10" s="159"/>
      <c r="H10" s="159"/>
      <c r="I10" s="159"/>
      <c r="J10" s="163"/>
      <c r="K10" s="163"/>
      <c r="L10" s="179"/>
      <c r="M10" s="17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38"/>
      <c r="Y10" s="129"/>
      <c r="Z10" s="129"/>
      <c r="AA10" s="129"/>
      <c r="AB10" s="129"/>
      <c r="AC10" s="129"/>
      <c r="AD10" s="129"/>
      <c r="AE10" s="129"/>
      <c r="AF10" s="129"/>
      <c r="AG10" s="129">
        <f>Z9</f>
        <v>0</v>
      </c>
    </row>
    <row r="11" spans="1:30" s="124" customFormat="1" ht="53.25" customHeight="1">
      <c r="A11" s="38"/>
      <c r="B11" s="63"/>
      <c r="C11" s="45" t="s">
        <v>228</v>
      </c>
      <c r="D11" s="103" t="s">
        <v>19</v>
      </c>
      <c r="E11" s="103" t="s">
        <v>19</v>
      </c>
      <c r="F11" s="103" t="s">
        <v>19</v>
      </c>
      <c r="G11" s="103" t="s">
        <v>19</v>
      </c>
      <c r="H11" s="103" t="s">
        <v>19</v>
      </c>
      <c r="I11" s="103" t="s">
        <v>19</v>
      </c>
      <c r="J11" s="130" t="s">
        <v>19</v>
      </c>
      <c r="K11" s="130" t="s">
        <v>19</v>
      </c>
      <c r="L11" s="131">
        <f>SUM(L12:L30)</f>
        <v>96002.8</v>
      </c>
      <c r="M11" s="131">
        <f aca="true" t="shared" si="0" ref="M11:W11">SUM(M12:M30)</f>
        <v>90649.1</v>
      </c>
      <c r="N11" s="131">
        <f t="shared" si="0"/>
        <v>180720.69999999995</v>
      </c>
      <c r="O11" s="131">
        <f t="shared" si="0"/>
        <v>182755.5</v>
      </c>
      <c r="P11" s="131">
        <f t="shared" si="0"/>
        <v>155610.9</v>
      </c>
      <c r="Q11" s="131">
        <f t="shared" si="0"/>
        <v>27147.899999999998</v>
      </c>
      <c r="R11" s="131">
        <f t="shared" si="0"/>
        <v>123899.8</v>
      </c>
      <c r="S11" s="131">
        <f t="shared" si="0"/>
        <v>123899.8</v>
      </c>
      <c r="T11" s="131">
        <f t="shared" si="0"/>
        <v>0</v>
      </c>
      <c r="U11" s="131">
        <f t="shared" si="0"/>
        <v>125977.5</v>
      </c>
      <c r="V11" s="131">
        <f t="shared" si="0"/>
        <v>125977.5</v>
      </c>
      <c r="W11" s="131">
        <f t="shared" si="0"/>
        <v>0</v>
      </c>
      <c r="X11" s="38"/>
      <c r="Y11" s="129"/>
      <c r="Z11" s="129"/>
      <c r="AA11" s="129"/>
      <c r="AB11" s="129"/>
      <c r="AC11" s="129"/>
      <c r="AD11" s="129"/>
    </row>
    <row r="12" spans="1:30" s="124" customFormat="1" ht="138.75" customHeight="1">
      <c r="A12" s="38"/>
      <c r="B12" s="63"/>
      <c r="C12" s="46" t="s">
        <v>333</v>
      </c>
      <c r="D12" s="47" t="s">
        <v>32</v>
      </c>
      <c r="E12" s="47" t="s">
        <v>334</v>
      </c>
      <c r="F12" s="47" t="s">
        <v>335</v>
      </c>
      <c r="G12" s="48" t="s">
        <v>33</v>
      </c>
      <c r="H12" s="48" t="s">
        <v>336</v>
      </c>
      <c r="I12" s="48" t="s">
        <v>34</v>
      </c>
      <c r="J12" s="49" t="s">
        <v>21</v>
      </c>
      <c r="K12" s="49" t="s">
        <v>337</v>
      </c>
      <c r="L12" s="50">
        <f>8589.2+948.8</f>
        <v>9538</v>
      </c>
      <c r="M12" s="51">
        <f>8574.8+946.9</f>
        <v>9521.699999999999</v>
      </c>
      <c r="N12" s="50">
        <f>8451.3+958.9</f>
        <v>9410.199999999999</v>
      </c>
      <c r="O12" s="60">
        <f aca="true" t="shared" si="1" ref="O12:O19">P12+Q12</f>
        <v>8703.3</v>
      </c>
      <c r="P12" s="52">
        <f>7715+988.3</f>
        <v>8703.3</v>
      </c>
      <c r="Q12" s="52">
        <v>0</v>
      </c>
      <c r="R12" s="60">
        <f aca="true" t="shared" si="2" ref="R12:R19">S12+T12</f>
        <v>8730.8</v>
      </c>
      <c r="S12" s="52">
        <f>7742.5+988.3</f>
        <v>8730.8</v>
      </c>
      <c r="T12" s="52">
        <v>0</v>
      </c>
      <c r="U12" s="60">
        <f aca="true" t="shared" si="3" ref="U12:U19">V12+W12</f>
        <v>8721.699999999999</v>
      </c>
      <c r="V12" s="52">
        <f>7733.4+988.3</f>
        <v>8721.699999999999</v>
      </c>
      <c r="W12" s="52">
        <v>0</v>
      </c>
      <c r="X12" s="38"/>
      <c r="Y12" s="129"/>
      <c r="Z12" s="129"/>
      <c r="AA12" s="129"/>
      <c r="AB12" s="129"/>
      <c r="AC12" s="129"/>
      <c r="AD12" s="129"/>
    </row>
    <row r="13" spans="1:30" s="124" customFormat="1" ht="109.5" customHeight="1">
      <c r="A13" s="38"/>
      <c r="B13" s="63"/>
      <c r="C13" s="53" t="s">
        <v>338</v>
      </c>
      <c r="D13" s="47" t="s">
        <v>35</v>
      </c>
      <c r="E13" s="47" t="s">
        <v>339</v>
      </c>
      <c r="F13" s="47" t="s">
        <v>340</v>
      </c>
      <c r="G13" s="48" t="s">
        <v>33</v>
      </c>
      <c r="H13" s="48" t="s">
        <v>336</v>
      </c>
      <c r="I13" s="48" t="s">
        <v>34</v>
      </c>
      <c r="J13" s="49" t="s">
        <v>21</v>
      </c>
      <c r="K13" s="49" t="s">
        <v>337</v>
      </c>
      <c r="L13" s="51">
        <v>875.7</v>
      </c>
      <c r="M13" s="51">
        <v>875.7</v>
      </c>
      <c r="N13" s="50">
        <v>982.1</v>
      </c>
      <c r="O13" s="60">
        <f t="shared" si="1"/>
        <v>997.1</v>
      </c>
      <c r="P13" s="52">
        <v>997.1</v>
      </c>
      <c r="Q13" s="54">
        <v>0</v>
      </c>
      <c r="R13" s="60">
        <f t="shared" si="2"/>
        <v>997.1</v>
      </c>
      <c r="S13" s="52">
        <v>997.1</v>
      </c>
      <c r="T13" s="52">
        <v>0</v>
      </c>
      <c r="U13" s="60">
        <f t="shared" si="3"/>
        <v>997.1</v>
      </c>
      <c r="V13" s="52">
        <v>997.1</v>
      </c>
      <c r="W13" s="52">
        <v>0</v>
      </c>
      <c r="X13" s="38"/>
      <c r="Y13" s="129"/>
      <c r="Z13" s="129"/>
      <c r="AA13" s="129"/>
      <c r="AB13" s="129"/>
      <c r="AC13" s="129"/>
      <c r="AD13" s="129"/>
    </row>
    <row r="14" spans="1:30" s="124" customFormat="1" ht="123.75">
      <c r="A14" s="38"/>
      <c r="B14" s="37"/>
      <c r="C14" s="104" t="s">
        <v>229</v>
      </c>
      <c r="D14" s="102" t="s">
        <v>101</v>
      </c>
      <c r="E14" s="102" t="s">
        <v>102</v>
      </c>
      <c r="F14" s="102" t="s">
        <v>300</v>
      </c>
      <c r="G14" s="105" t="s">
        <v>103</v>
      </c>
      <c r="H14" s="105" t="s">
        <v>104</v>
      </c>
      <c r="I14" s="105" t="s">
        <v>105</v>
      </c>
      <c r="J14" s="132" t="s">
        <v>265</v>
      </c>
      <c r="K14" s="132" t="s">
        <v>266</v>
      </c>
      <c r="L14" s="51">
        <v>247</v>
      </c>
      <c r="M14" s="51">
        <f>247-12.8</f>
        <v>234.2</v>
      </c>
      <c r="N14" s="51">
        <f>247+2750+3.8+300+9.5</f>
        <v>3310.3</v>
      </c>
      <c r="O14" s="133">
        <f t="shared" si="1"/>
        <v>247</v>
      </c>
      <c r="P14" s="51">
        <v>247</v>
      </c>
      <c r="Q14" s="51"/>
      <c r="R14" s="133">
        <f t="shared" si="2"/>
        <v>0</v>
      </c>
      <c r="S14" s="51"/>
      <c r="T14" s="51"/>
      <c r="U14" s="133">
        <f t="shared" si="3"/>
        <v>0</v>
      </c>
      <c r="V14" s="51"/>
      <c r="W14" s="51"/>
      <c r="X14" s="38"/>
      <c r="Y14" s="129"/>
      <c r="Z14" s="129"/>
      <c r="AA14" s="129"/>
      <c r="AB14" s="129"/>
      <c r="AC14" s="129"/>
      <c r="AD14" s="129"/>
    </row>
    <row r="15" spans="1:30" s="124" customFormat="1" ht="211.5" customHeight="1">
      <c r="A15" s="38"/>
      <c r="B15" s="37"/>
      <c r="C15" s="104" t="s">
        <v>230</v>
      </c>
      <c r="D15" s="102" t="s">
        <v>157</v>
      </c>
      <c r="E15" s="102" t="s">
        <v>158</v>
      </c>
      <c r="F15" s="102" t="s">
        <v>299</v>
      </c>
      <c r="G15" s="102" t="s">
        <v>159</v>
      </c>
      <c r="H15" s="102" t="s">
        <v>160</v>
      </c>
      <c r="I15" s="102" t="s">
        <v>161</v>
      </c>
      <c r="J15" s="134" t="s">
        <v>331</v>
      </c>
      <c r="K15" s="134" t="s">
        <v>332</v>
      </c>
      <c r="L15" s="51">
        <v>180</v>
      </c>
      <c r="M15" s="51">
        <f>180-135</f>
        <v>45</v>
      </c>
      <c r="N15" s="51"/>
      <c r="O15" s="133">
        <f t="shared" si="1"/>
        <v>1524</v>
      </c>
      <c r="P15" s="51">
        <v>1524</v>
      </c>
      <c r="Q15" s="51"/>
      <c r="R15" s="133">
        <f t="shared" si="2"/>
        <v>0</v>
      </c>
      <c r="S15" s="51"/>
      <c r="T15" s="51"/>
      <c r="U15" s="133">
        <f t="shared" si="3"/>
        <v>0</v>
      </c>
      <c r="V15" s="51"/>
      <c r="W15" s="51"/>
      <c r="X15" s="38"/>
      <c r="Y15" s="129"/>
      <c r="Z15" s="129"/>
      <c r="AA15" s="129"/>
      <c r="AB15" s="129"/>
      <c r="AC15" s="129"/>
      <c r="AD15" s="129"/>
    </row>
    <row r="16" spans="1:30" s="124" customFormat="1" ht="216.75" customHeight="1">
      <c r="A16" s="38"/>
      <c r="B16" s="37"/>
      <c r="C16" s="104" t="s">
        <v>231</v>
      </c>
      <c r="D16" s="102" t="s">
        <v>137</v>
      </c>
      <c r="E16" s="102" t="s">
        <v>138</v>
      </c>
      <c r="F16" s="102" t="s">
        <v>139</v>
      </c>
      <c r="G16" s="102" t="s">
        <v>140</v>
      </c>
      <c r="H16" s="102" t="s">
        <v>141</v>
      </c>
      <c r="I16" s="102" t="s">
        <v>197</v>
      </c>
      <c r="J16" s="132" t="s">
        <v>22</v>
      </c>
      <c r="K16" s="132" t="s">
        <v>142</v>
      </c>
      <c r="L16" s="51">
        <v>2134</v>
      </c>
      <c r="M16" s="51">
        <f>2134-764.7</f>
        <v>1369.3</v>
      </c>
      <c r="N16" s="51">
        <f>4033.6+1281</f>
        <v>5314.6</v>
      </c>
      <c r="O16" s="133">
        <f t="shared" si="1"/>
        <v>7008.4</v>
      </c>
      <c r="P16" s="51">
        <v>7008.4</v>
      </c>
      <c r="Q16" s="51"/>
      <c r="R16" s="133">
        <f t="shared" si="2"/>
        <v>0</v>
      </c>
      <c r="S16" s="51"/>
      <c r="T16" s="51"/>
      <c r="U16" s="133">
        <f t="shared" si="3"/>
        <v>0</v>
      </c>
      <c r="V16" s="51"/>
      <c r="W16" s="51"/>
      <c r="X16" s="38"/>
      <c r="Y16" s="129"/>
      <c r="Z16" s="129"/>
      <c r="AA16" s="129"/>
      <c r="AB16" s="129"/>
      <c r="AC16" s="129"/>
      <c r="AD16" s="129"/>
    </row>
    <row r="17" spans="1:30" s="124" customFormat="1" ht="216.75" customHeight="1">
      <c r="A17" s="38"/>
      <c r="B17" s="37"/>
      <c r="C17" s="81" t="s">
        <v>412</v>
      </c>
      <c r="D17" s="47" t="s">
        <v>35</v>
      </c>
      <c r="E17" s="47" t="s">
        <v>339</v>
      </c>
      <c r="F17" s="47" t="s">
        <v>294</v>
      </c>
      <c r="G17" s="82" t="s">
        <v>413</v>
      </c>
      <c r="H17" s="82" t="s">
        <v>414</v>
      </c>
      <c r="I17" s="71" t="s">
        <v>415</v>
      </c>
      <c r="J17" s="41" t="s">
        <v>214</v>
      </c>
      <c r="K17" s="71" t="s">
        <v>313</v>
      </c>
      <c r="L17" s="54">
        <v>1</v>
      </c>
      <c r="M17" s="54">
        <v>1</v>
      </c>
      <c r="N17" s="54">
        <v>1</v>
      </c>
      <c r="O17" s="97">
        <v>1</v>
      </c>
      <c r="P17" s="54">
        <v>1</v>
      </c>
      <c r="Q17" s="54">
        <v>0</v>
      </c>
      <c r="R17" s="97">
        <v>1</v>
      </c>
      <c r="S17" s="54">
        <v>1</v>
      </c>
      <c r="T17" s="54">
        <v>0</v>
      </c>
      <c r="U17" s="97">
        <v>1</v>
      </c>
      <c r="V17" s="54">
        <v>1</v>
      </c>
      <c r="W17" s="54">
        <v>0</v>
      </c>
      <c r="X17" s="38"/>
      <c r="Y17" s="129"/>
      <c r="Z17" s="129"/>
      <c r="AA17" s="129"/>
      <c r="AB17" s="129"/>
      <c r="AC17" s="129"/>
      <c r="AD17" s="129"/>
    </row>
    <row r="18" spans="1:30" s="124" customFormat="1" ht="198" customHeight="1">
      <c r="A18" s="38"/>
      <c r="B18" s="37"/>
      <c r="C18" s="104" t="s">
        <v>232</v>
      </c>
      <c r="D18" s="102" t="s">
        <v>26</v>
      </c>
      <c r="E18" s="102" t="s">
        <v>27</v>
      </c>
      <c r="F18" s="102" t="s">
        <v>28</v>
      </c>
      <c r="G18" s="102" t="s">
        <v>29</v>
      </c>
      <c r="H18" s="102" t="s">
        <v>30</v>
      </c>
      <c r="I18" s="102" t="s">
        <v>31</v>
      </c>
      <c r="J18" s="132" t="s">
        <v>341</v>
      </c>
      <c r="K18" s="132" t="s">
        <v>342</v>
      </c>
      <c r="L18" s="51">
        <f>6413.2+1782</f>
        <v>8195.2</v>
      </c>
      <c r="M18" s="51">
        <f>4732.8</f>
        <v>4732.8</v>
      </c>
      <c r="N18" s="51">
        <f>3132.2+2759.1</f>
        <v>5891.299999999999</v>
      </c>
      <c r="O18" s="135">
        <f t="shared" si="1"/>
        <v>10196.8</v>
      </c>
      <c r="P18" s="136">
        <f>3265.1+6931.7</f>
        <v>10196.8</v>
      </c>
      <c r="Q18" s="136"/>
      <c r="R18" s="135">
        <f t="shared" si="2"/>
        <v>260.4</v>
      </c>
      <c r="S18" s="136">
        <f>120+140.4</f>
        <v>260.4</v>
      </c>
      <c r="T18" s="136"/>
      <c r="U18" s="135">
        <f t="shared" si="3"/>
        <v>595.6</v>
      </c>
      <c r="V18" s="51">
        <f>120+475.6</f>
        <v>595.6</v>
      </c>
      <c r="W18" s="51"/>
      <c r="X18" s="38"/>
      <c r="Y18" s="129"/>
      <c r="Z18" s="129"/>
      <c r="AA18" s="129"/>
      <c r="AB18" s="129"/>
      <c r="AC18" s="129"/>
      <c r="AD18" s="129"/>
    </row>
    <row r="19" spans="1:30" s="124" customFormat="1" ht="141" customHeight="1">
      <c r="A19" s="38"/>
      <c r="B19" s="37"/>
      <c r="C19" s="104" t="s">
        <v>233</v>
      </c>
      <c r="D19" s="102" t="s">
        <v>149</v>
      </c>
      <c r="E19" s="102" t="s">
        <v>150</v>
      </c>
      <c r="F19" s="102" t="s">
        <v>151</v>
      </c>
      <c r="G19" s="102" t="s">
        <v>152</v>
      </c>
      <c r="H19" s="102" t="s">
        <v>153</v>
      </c>
      <c r="I19" s="102" t="s">
        <v>154</v>
      </c>
      <c r="J19" s="132" t="s">
        <v>323</v>
      </c>
      <c r="K19" s="132" t="s">
        <v>324</v>
      </c>
      <c r="L19" s="51">
        <v>20.3</v>
      </c>
      <c r="M19" s="51">
        <v>20.3</v>
      </c>
      <c r="N19" s="51">
        <v>1624.9</v>
      </c>
      <c r="O19" s="135">
        <f t="shared" si="1"/>
        <v>1852.6</v>
      </c>
      <c r="P19" s="136">
        <v>1852.6</v>
      </c>
      <c r="Q19" s="136"/>
      <c r="R19" s="135">
        <f t="shared" si="2"/>
        <v>20.3</v>
      </c>
      <c r="S19" s="136">
        <v>20.3</v>
      </c>
      <c r="T19" s="136"/>
      <c r="U19" s="135">
        <f t="shared" si="3"/>
        <v>20.3</v>
      </c>
      <c r="V19" s="51">
        <v>20.3</v>
      </c>
      <c r="W19" s="51"/>
      <c r="X19" s="38"/>
      <c r="Y19" s="129"/>
      <c r="Z19" s="129"/>
      <c r="AA19" s="129"/>
      <c r="AB19" s="129"/>
      <c r="AC19" s="129"/>
      <c r="AD19" s="129"/>
    </row>
    <row r="20" spans="1:30" s="124" customFormat="1" ht="408.75" customHeight="1">
      <c r="A20" s="38"/>
      <c r="B20" s="37"/>
      <c r="C20" s="104" t="s">
        <v>319</v>
      </c>
      <c r="D20" s="102" t="s">
        <v>352</v>
      </c>
      <c r="E20" s="102" t="s">
        <v>353</v>
      </c>
      <c r="F20" s="102" t="s">
        <v>354</v>
      </c>
      <c r="G20" s="102" t="s">
        <v>320</v>
      </c>
      <c r="H20" s="102" t="s">
        <v>168</v>
      </c>
      <c r="I20" s="106" t="s">
        <v>321</v>
      </c>
      <c r="J20" s="132" t="s">
        <v>350</v>
      </c>
      <c r="K20" s="132" t="s">
        <v>351</v>
      </c>
      <c r="L20" s="51">
        <f>4838.6+32964</f>
        <v>37802.6</v>
      </c>
      <c r="M20" s="51">
        <f>4838.6+32256.8</f>
        <v>37095.4</v>
      </c>
      <c r="N20" s="51">
        <f>8524.6+3611.6+5585.5+61331.5</f>
        <v>79053.2</v>
      </c>
      <c r="O20" s="133">
        <f>P20</f>
        <v>81804.6</v>
      </c>
      <c r="P20" s="51">
        <f>26198.1+6049.5+49557</f>
        <v>81804.6</v>
      </c>
      <c r="Q20" s="51">
        <f>3.3</f>
        <v>3.3</v>
      </c>
      <c r="R20" s="133">
        <f>S20</f>
        <v>74146.3</v>
      </c>
      <c r="S20" s="51">
        <f>21454.6+6129.8+46561.9</f>
        <v>74146.3</v>
      </c>
      <c r="T20" s="51"/>
      <c r="U20" s="133">
        <f>V20</f>
        <v>75976.29999999999</v>
      </c>
      <c r="V20" s="51">
        <f>21779.8+6192.8+48003.7</f>
        <v>75976.29999999999</v>
      </c>
      <c r="W20" s="51"/>
      <c r="X20" s="38"/>
      <c r="Y20" s="129"/>
      <c r="Z20" s="129"/>
      <c r="AA20" s="129"/>
      <c r="AB20" s="129"/>
      <c r="AC20" s="129"/>
      <c r="AD20" s="129"/>
    </row>
    <row r="21" spans="1:30" s="124" customFormat="1" ht="168.75" customHeight="1">
      <c r="A21" s="38"/>
      <c r="B21" s="37"/>
      <c r="C21" s="107" t="s">
        <v>277</v>
      </c>
      <c r="D21" s="102" t="s">
        <v>301</v>
      </c>
      <c r="E21" s="102" t="s">
        <v>303</v>
      </c>
      <c r="F21" s="102" t="s">
        <v>302</v>
      </c>
      <c r="G21" s="102"/>
      <c r="H21" s="102"/>
      <c r="I21" s="102"/>
      <c r="J21" s="132" t="s">
        <v>23</v>
      </c>
      <c r="K21" s="132" t="s">
        <v>108</v>
      </c>
      <c r="L21" s="51"/>
      <c r="M21" s="51"/>
      <c r="N21" s="51">
        <f>2198.5-947.7+3709.3+363.1-2283.5</f>
        <v>3039.7000000000007</v>
      </c>
      <c r="O21" s="133">
        <f>P21+Q21</f>
        <v>619.8</v>
      </c>
      <c r="P21" s="51">
        <v>619.8</v>
      </c>
      <c r="Q21" s="51"/>
      <c r="R21" s="133"/>
      <c r="S21" s="51"/>
      <c r="T21" s="51"/>
      <c r="U21" s="133"/>
      <c r="V21" s="51"/>
      <c r="W21" s="51"/>
      <c r="X21" s="38"/>
      <c r="Y21" s="129"/>
      <c r="Z21" s="129"/>
      <c r="AA21" s="129"/>
      <c r="AB21" s="129"/>
      <c r="AC21" s="129"/>
      <c r="AD21" s="129"/>
    </row>
    <row r="22" spans="1:30" s="124" customFormat="1" ht="116.25" customHeight="1">
      <c r="A22" s="38"/>
      <c r="B22" s="37"/>
      <c r="C22" s="104" t="s">
        <v>234</v>
      </c>
      <c r="D22" s="102" t="s">
        <v>190</v>
      </c>
      <c r="E22" s="102" t="s">
        <v>191</v>
      </c>
      <c r="F22" s="102" t="s">
        <v>298</v>
      </c>
      <c r="G22" s="102" t="s">
        <v>192</v>
      </c>
      <c r="H22" s="102" t="s">
        <v>193</v>
      </c>
      <c r="I22" s="102" t="s">
        <v>194</v>
      </c>
      <c r="J22" s="132" t="s">
        <v>267</v>
      </c>
      <c r="K22" s="132" t="s">
        <v>268</v>
      </c>
      <c r="L22" s="51">
        <f>483.4+13.1</f>
        <v>496.5</v>
      </c>
      <c r="M22" s="51">
        <f>483.4+13.1-1.1</f>
        <v>495.4</v>
      </c>
      <c r="N22" s="51">
        <f>518.3+68.1+0.1-8.8</f>
        <v>577.7</v>
      </c>
      <c r="O22" s="133">
        <f>P22+Q22</f>
        <v>578.8</v>
      </c>
      <c r="P22" s="51">
        <v>578.8</v>
      </c>
      <c r="Q22" s="51"/>
      <c r="R22" s="133">
        <f>S22+T22</f>
        <v>601.1</v>
      </c>
      <c r="S22" s="51">
        <v>601.1</v>
      </c>
      <c r="T22" s="51"/>
      <c r="U22" s="133">
        <f>V22+W22</f>
        <v>601.1</v>
      </c>
      <c r="V22" s="51">
        <v>601.1</v>
      </c>
      <c r="W22" s="51"/>
      <c r="X22" s="38"/>
      <c r="Y22" s="129"/>
      <c r="Z22" s="129"/>
      <c r="AA22" s="129"/>
      <c r="AB22" s="129"/>
      <c r="AC22" s="129"/>
      <c r="AD22" s="129"/>
    </row>
    <row r="23" spans="1:30" s="124" customFormat="1" ht="116.25" customHeight="1">
      <c r="A23" s="38"/>
      <c r="B23" s="37"/>
      <c r="C23" s="104" t="s">
        <v>261</v>
      </c>
      <c r="D23" s="102" t="s">
        <v>35</v>
      </c>
      <c r="E23" s="102" t="s">
        <v>147</v>
      </c>
      <c r="F23" s="102" t="s">
        <v>294</v>
      </c>
      <c r="G23" s="108" t="s">
        <v>201</v>
      </c>
      <c r="H23" s="103" t="s">
        <v>202</v>
      </c>
      <c r="I23" s="106" t="s">
        <v>203</v>
      </c>
      <c r="J23" s="132" t="s">
        <v>23</v>
      </c>
      <c r="K23" s="132" t="s">
        <v>108</v>
      </c>
      <c r="L23" s="51">
        <v>571</v>
      </c>
      <c r="M23" s="51">
        <f>571-236.4</f>
        <v>334.6</v>
      </c>
      <c r="N23" s="51">
        <v>304.6</v>
      </c>
      <c r="O23" s="133">
        <f aca="true" t="shared" si="4" ref="O23:O32">P23+Q23</f>
        <v>488.7</v>
      </c>
      <c r="P23" s="51">
        <v>488.7</v>
      </c>
      <c r="Q23" s="51"/>
      <c r="R23" s="133">
        <f aca="true" t="shared" si="5" ref="R23:R32">S23+T23</f>
        <v>0</v>
      </c>
      <c r="S23" s="51"/>
      <c r="T23" s="51"/>
      <c r="U23" s="133">
        <f aca="true" t="shared" si="6" ref="U23:U32">V23+W23</f>
        <v>0</v>
      </c>
      <c r="V23" s="51"/>
      <c r="W23" s="51"/>
      <c r="X23" s="38"/>
      <c r="Y23" s="129"/>
      <c r="Z23" s="129"/>
      <c r="AA23" s="129"/>
      <c r="AB23" s="129"/>
      <c r="AC23" s="129"/>
      <c r="AD23" s="129"/>
    </row>
    <row r="24" spans="1:30" s="124" customFormat="1" ht="116.25" customHeight="1">
      <c r="A24" s="38"/>
      <c r="B24" s="37"/>
      <c r="C24" s="104" t="s">
        <v>359</v>
      </c>
      <c r="D24" s="108" t="s">
        <v>361</v>
      </c>
      <c r="E24" s="103" t="s">
        <v>360</v>
      </c>
      <c r="F24" s="106">
        <v>34697</v>
      </c>
      <c r="G24" s="103" t="s">
        <v>19</v>
      </c>
      <c r="H24" s="103" t="s">
        <v>19</v>
      </c>
      <c r="I24" s="106"/>
      <c r="J24" s="130" t="s">
        <v>142</v>
      </c>
      <c r="K24" s="130" t="s">
        <v>21</v>
      </c>
      <c r="L24" s="136">
        <f>10215.9</f>
        <v>10215.9</v>
      </c>
      <c r="M24" s="136">
        <f>10215.9</f>
        <v>10215.9</v>
      </c>
      <c r="N24" s="136">
        <f>11495</f>
        <v>11495</v>
      </c>
      <c r="O24" s="135">
        <f>P24+Q24</f>
        <v>11616.7</v>
      </c>
      <c r="P24" s="137">
        <f>11616.7</f>
        <v>11616.7</v>
      </c>
      <c r="Q24" s="136"/>
      <c r="R24" s="135">
        <f>S24+T24</f>
        <v>11801.5</v>
      </c>
      <c r="S24" s="137">
        <f>11801.5</f>
        <v>11801.5</v>
      </c>
      <c r="T24" s="136"/>
      <c r="U24" s="135">
        <f>V24+W24</f>
        <v>11575.5</v>
      </c>
      <c r="V24" s="137">
        <f>11575.5</f>
        <v>11575.5</v>
      </c>
      <c r="W24" s="138"/>
      <c r="X24" s="38"/>
      <c r="Y24" s="129"/>
      <c r="Z24" s="129"/>
      <c r="AA24" s="129"/>
      <c r="AB24" s="129"/>
      <c r="AC24" s="129"/>
      <c r="AD24" s="129"/>
    </row>
    <row r="25" spans="1:30" s="124" customFormat="1" ht="96" customHeight="1">
      <c r="A25" s="38"/>
      <c r="B25" s="37"/>
      <c r="C25" s="191" t="s">
        <v>362</v>
      </c>
      <c r="D25" s="177" t="s">
        <v>366</v>
      </c>
      <c r="E25" s="158" t="s">
        <v>363</v>
      </c>
      <c r="F25" s="164">
        <v>37900</v>
      </c>
      <c r="G25" s="158"/>
      <c r="H25" s="158"/>
      <c r="I25" s="164"/>
      <c r="J25" s="162" t="s">
        <v>364</v>
      </c>
      <c r="K25" s="162" t="s">
        <v>365</v>
      </c>
      <c r="L25" s="180">
        <v>24854.9</v>
      </c>
      <c r="M25" s="180">
        <v>24854.9</v>
      </c>
      <c r="N25" s="180">
        <v>27221.1</v>
      </c>
      <c r="O25" s="183">
        <f>P25+Q25</f>
        <v>27255.8</v>
      </c>
      <c r="P25" s="180">
        <f>27255.8</f>
        <v>27255.8</v>
      </c>
      <c r="Q25" s="180">
        <v>0</v>
      </c>
      <c r="R25" s="183">
        <f>S25</f>
        <v>26249.3</v>
      </c>
      <c r="S25" s="180">
        <v>26249.3</v>
      </c>
      <c r="T25" s="180">
        <v>0</v>
      </c>
      <c r="U25" s="183">
        <v>26408.4</v>
      </c>
      <c r="V25" s="180">
        <f>U25-W25</f>
        <v>26408.4</v>
      </c>
      <c r="W25" s="180">
        <v>0</v>
      </c>
      <c r="X25" s="38"/>
      <c r="Y25" s="129"/>
      <c r="Z25" s="129"/>
      <c r="AA25" s="129"/>
      <c r="AB25" s="129"/>
      <c r="AC25" s="129"/>
      <c r="AD25" s="129"/>
    </row>
    <row r="26" spans="1:30" s="124" customFormat="1" ht="43.5" customHeight="1" hidden="1">
      <c r="A26" s="38"/>
      <c r="B26" s="37"/>
      <c r="C26" s="192"/>
      <c r="D26" s="193"/>
      <c r="E26" s="165"/>
      <c r="F26" s="165"/>
      <c r="G26" s="165"/>
      <c r="H26" s="165"/>
      <c r="I26" s="165"/>
      <c r="J26" s="194"/>
      <c r="K26" s="194"/>
      <c r="L26" s="182"/>
      <c r="M26" s="182"/>
      <c r="N26" s="182"/>
      <c r="O26" s="184"/>
      <c r="P26" s="182"/>
      <c r="Q26" s="182"/>
      <c r="R26" s="184"/>
      <c r="S26" s="182"/>
      <c r="T26" s="182"/>
      <c r="U26" s="184"/>
      <c r="V26" s="182"/>
      <c r="W26" s="182"/>
      <c r="X26" s="38"/>
      <c r="Y26" s="129"/>
      <c r="Z26" s="129"/>
      <c r="AA26" s="129"/>
      <c r="AB26" s="129"/>
      <c r="AC26" s="129"/>
      <c r="AD26" s="129"/>
    </row>
    <row r="27" spans="1:30" s="124" customFormat="1" ht="300" customHeight="1">
      <c r="A27" s="38"/>
      <c r="B27" s="37"/>
      <c r="C27" s="104" t="s">
        <v>235</v>
      </c>
      <c r="D27" s="102" t="s">
        <v>215</v>
      </c>
      <c r="E27" s="102" t="s">
        <v>374</v>
      </c>
      <c r="F27" s="102" t="s">
        <v>297</v>
      </c>
      <c r="G27" s="102" t="s">
        <v>218</v>
      </c>
      <c r="H27" s="102" t="s">
        <v>219</v>
      </c>
      <c r="I27" s="102" t="s">
        <v>220</v>
      </c>
      <c r="J27" s="132" t="s">
        <v>372</v>
      </c>
      <c r="K27" s="132" t="s">
        <v>373</v>
      </c>
      <c r="L27" s="139">
        <f>229.7</f>
        <v>229.7</v>
      </c>
      <c r="M27" s="139">
        <f>229.7</f>
        <v>229.7</v>
      </c>
      <c r="N27" s="51">
        <f>68.2+483.2</f>
        <v>551.4</v>
      </c>
      <c r="O27" s="133">
        <f>P27+Q27</f>
        <v>1623.1</v>
      </c>
      <c r="P27" s="51">
        <f>1163.6+459.5</f>
        <v>1623.1</v>
      </c>
      <c r="Q27" s="139"/>
      <c r="R27" s="131"/>
      <c r="S27" s="139"/>
      <c r="T27" s="139"/>
      <c r="U27" s="131"/>
      <c r="V27" s="139"/>
      <c r="W27" s="139"/>
      <c r="X27" s="38"/>
      <c r="Y27" s="129"/>
      <c r="Z27" s="129"/>
      <c r="AA27" s="129"/>
      <c r="AB27" s="129"/>
      <c r="AC27" s="129"/>
      <c r="AD27" s="129"/>
    </row>
    <row r="28" spans="1:30" s="124" customFormat="1" ht="139.5" customHeight="1">
      <c r="A28" s="38"/>
      <c r="B28" s="37"/>
      <c r="C28" s="104" t="s">
        <v>236</v>
      </c>
      <c r="D28" s="102" t="s">
        <v>216</v>
      </c>
      <c r="E28" s="102" t="s">
        <v>217</v>
      </c>
      <c r="F28" s="102" t="s">
        <v>367</v>
      </c>
      <c r="G28" s="102" t="s">
        <v>221</v>
      </c>
      <c r="H28" s="105" t="s">
        <v>222</v>
      </c>
      <c r="I28" s="105" t="s">
        <v>223</v>
      </c>
      <c r="J28" s="140" t="s">
        <v>343</v>
      </c>
      <c r="K28" s="141" t="s">
        <v>344</v>
      </c>
      <c r="L28" s="51">
        <f>615+26</f>
        <v>641</v>
      </c>
      <c r="M28" s="51">
        <f>604.8+18.4</f>
        <v>623.1999999999999</v>
      </c>
      <c r="N28" s="51">
        <f>3025+20</f>
        <v>3045</v>
      </c>
      <c r="O28" s="133">
        <f t="shared" si="4"/>
        <v>856.4</v>
      </c>
      <c r="P28" s="51">
        <f>841.4+15</f>
        <v>856.4</v>
      </c>
      <c r="Q28" s="51"/>
      <c r="R28" s="133">
        <f t="shared" si="5"/>
        <v>1092</v>
      </c>
      <c r="S28" s="51">
        <f>1082+10</f>
        <v>1092</v>
      </c>
      <c r="T28" s="51"/>
      <c r="U28" s="133">
        <f t="shared" si="6"/>
        <v>1080.5</v>
      </c>
      <c r="V28" s="51">
        <f>1080.5</f>
        <v>1080.5</v>
      </c>
      <c r="W28" s="51"/>
      <c r="X28" s="38"/>
      <c r="Y28" s="129"/>
      <c r="Z28" s="129"/>
      <c r="AA28" s="129"/>
      <c r="AB28" s="129"/>
      <c r="AC28" s="129"/>
      <c r="AD28" s="129"/>
    </row>
    <row r="29" spans="1:30" s="124" customFormat="1" ht="319.5" customHeight="1">
      <c r="A29" s="38"/>
      <c r="B29" s="37"/>
      <c r="C29" s="104" t="s">
        <v>312</v>
      </c>
      <c r="D29" s="102" t="s">
        <v>314</v>
      </c>
      <c r="E29" s="102" t="s">
        <v>168</v>
      </c>
      <c r="F29" s="102" t="s">
        <v>315</v>
      </c>
      <c r="G29" s="102"/>
      <c r="H29" s="105"/>
      <c r="I29" s="105"/>
      <c r="J29" s="141" t="s">
        <v>22</v>
      </c>
      <c r="K29" s="141" t="s">
        <v>313</v>
      </c>
      <c r="L29" s="51"/>
      <c r="M29" s="51"/>
      <c r="N29" s="51">
        <f>910-250.7</f>
        <v>659.3</v>
      </c>
      <c r="O29" s="133">
        <f t="shared" si="4"/>
        <v>27144.6</v>
      </c>
      <c r="P29" s="51"/>
      <c r="Q29" s="51">
        <v>27144.6</v>
      </c>
      <c r="R29" s="133"/>
      <c r="S29" s="51"/>
      <c r="T29" s="51"/>
      <c r="U29" s="133"/>
      <c r="V29" s="51"/>
      <c r="W29" s="51"/>
      <c r="X29" s="38"/>
      <c r="Y29" s="129"/>
      <c r="Z29" s="129"/>
      <c r="AA29" s="129"/>
      <c r="AB29" s="129"/>
      <c r="AC29" s="129"/>
      <c r="AD29" s="129"/>
    </row>
    <row r="30" spans="1:30" s="124" customFormat="1" ht="291" customHeight="1">
      <c r="A30" s="38"/>
      <c r="B30" s="37"/>
      <c r="C30" s="104" t="s">
        <v>308</v>
      </c>
      <c r="D30" s="102"/>
      <c r="E30" s="102"/>
      <c r="F30" s="102"/>
      <c r="G30" s="102" t="s">
        <v>309</v>
      </c>
      <c r="H30" s="105" t="s">
        <v>310</v>
      </c>
      <c r="I30" s="105" t="s">
        <v>311</v>
      </c>
      <c r="J30" s="141" t="s">
        <v>23</v>
      </c>
      <c r="K30" s="141" t="s">
        <v>21</v>
      </c>
      <c r="L30" s="51"/>
      <c r="M30" s="51"/>
      <c r="N30" s="51">
        <f>26192.1+236.8+1879.7-70+0.7</f>
        <v>28239.3</v>
      </c>
      <c r="O30" s="133">
        <f>P30+Q30</f>
        <v>236.8</v>
      </c>
      <c r="P30" s="51">
        <v>236.8</v>
      </c>
      <c r="Q30" s="51"/>
      <c r="R30" s="133">
        <f t="shared" si="5"/>
        <v>0</v>
      </c>
      <c r="S30" s="51"/>
      <c r="T30" s="51"/>
      <c r="U30" s="133">
        <f t="shared" si="6"/>
        <v>0</v>
      </c>
      <c r="V30" s="51"/>
      <c r="W30" s="51"/>
      <c r="X30" s="38"/>
      <c r="Y30" s="129"/>
      <c r="Z30" s="129"/>
      <c r="AA30" s="129"/>
      <c r="AB30" s="129"/>
      <c r="AC30" s="129"/>
      <c r="AD30" s="129"/>
    </row>
    <row r="31" spans="1:30" s="124" customFormat="1" ht="213" customHeight="1">
      <c r="A31" s="38"/>
      <c r="B31" s="63"/>
      <c r="C31" s="109" t="s">
        <v>237</v>
      </c>
      <c r="D31" s="108" t="s">
        <v>19</v>
      </c>
      <c r="E31" s="103" t="s">
        <v>19</v>
      </c>
      <c r="F31" s="103" t="s">
        <v>19</v>
      </c>
      <c r="G31" s="103" t="s">
        <v>19</v>
      </c>
      <c r="H31" s="103" t="s">
        <v>19</v>
      </c>
      <c r="I31" s="103" t="s">
        <v>19</v>
      </c>
      <c r="J31" s="130" t="s">
        <v>19</v>
      </c>
      <c r="K31" s="130" t="s">
        <v>19</v>
      </c>
      <c r="L31" s="131">
        <f>SUM(L32:L42)</f>
        <v>107113.6</v>
      </c>
      <c r="M31" s="131">
        <f>SUM(M32:M42)</f>
        <v>89924.8</v>
      </c>
      <c r="N31" s="131">
        <f>SUM(N32:N42)</f>
        <v>109314.09999999999</v>
      </c>
      <c r="O31" s="133">
        <f t="shared" si="4"/>
        <v>92659.2</v>
      </c>
      <c r="P31" s="131">
        <f>SUM(P32:P42)</f>
        <v>92153.5</v>
      </c>
      <c r="Q31" s="131">
        <f>SUM(Q32:Q42)</f>
        <v>505.7</v>
      </c>
      <c r="R31" s="133">
        <f t="shared" si="5"/>
        <v>87053.1</v>
      </c>
      <c r="S31" s="131">
        <f>SUM(S32:S42)</f>
        <v>86926</v>
      </c>
      <c r="T31" s="131">
        <f>SUM(T32:T42)</f>
        <v>127.10000000000001</v>
      </c>
      <c r="U31" s="133">
        <f t="shared" si="6"/>
        <v>89032.4</v>
      </c>
      <c r="V31" s="131">
        <f>SUM(V32:V42)</f>
        <v>88900</v>
      </c>
      <c r="W31" s="131">
        <f>SUM(W32:W42)</f>
        <v>132.4</v>
      </c>
      <c r="X31" s="38"/>
      <c r="Y31" s="129"/>
      <c r="Z31" s="129"/>
      <c r="AA31" s="129"/>
      <c r="AB31" s="129"/>
      <c r="AC31" s="129"/>
      <c r="AD31" s="129"/>
    </row>
    <row r="32" spans="1:30" s="124" customFormat="1" ht="123" customHeight="1">
      <c r="A32" s="38"/>
      <c r="B32" s="37"/>
      <c r="C32" s="104" t="s">
        <v>238</v>
      </c>
      <c r="D32" s="102" t="s">
        <v>42</v>
      </c>
      <c r="E32" s="102" t="s">
        <v>355</v>
      </c>
      <c r="F32" s="102" t="s">
        <v>296</v>
      </c>
      <c r="G32" s="102" t="s">
        <v>43</v>
      </c>
      <c r="H32" s="102" t="s">
        <v>356</v>
      </c>
      <c r="I32" s="102" t="s">
        <v>44</v>
      </c>
      <c r="J32" s="130" t="s">
        <v>368</v>
      </c>
      <c r="K32" s="130" t="s">
        <v>369</v>
      </c>
      <c r="L32" s="51">
        <f>25623.5+713.9+727.4+2230.7</f>
        <v>29295.500000000004</v>
      </c>
      <c r="M32" s="51">
        <f>24632.6+681.5+689+1567.7</f>
        <v>27570.8</v>
      </c>
      <c r="N32" s="51">
        <f>30200.4+97.9+835.8+810.9+3.4+1978.7</f>
        <v>33927.100000000006</v>
      </c>
      <c r="O32" s="133">
        <f t="shared" si="4"/>
        <v>36985.600000000006</v>
      </c>
      <c r="P32" s="51">
        <f>31409.9+23.2+1959.8+1176.4+5.9+2329</f>
        <v>36904.200000000004</v>
      </c>
      <c r="Q32" s="51">
        <f>7.5+5.1+68.8</f>
        <v>81.39999999999999</v>
      </c>
      <c r="R32" s="133">
        <f t="shared" si="5"/>
        <v>33097.100000000006</v>
      </c>
      <c r="S32" s="51">
        <f>28327.1+23.2+1164.9+1178.2+5.9+2397.8</f>
        <v>33097.100000000006</v>
      </c>
      <c r="T32" s="51"/>
      <c r="U32" s="133">
        <f t="shared" si="6"/>
        <v>33153.600000000006</v>
      </c>
      <c r="V32" s="51">
        <f>28383.4+23.2+1164.9+1178.2+5.9+2398</f>
        <v>33153.600000000006</v>
      </c>
      <c r="W32" s="51"/>
      <c r="X32" s="38"/>
      <c r="Y32" s="129"/>
      <c r="Z32" s="129"/>
      <c r="AA32" s="129"/>
      <c r="AB32" s="129"/>
      <c r="AC32" s="129"/>
      <c r="AD32" s="129"/>
    </row>
    <row r="33" spans="1:30" s="124" customFormat="1" ht="1.5" customHeight="1">
      <c r="A33" s="38"/>
      <c r="B33" s="37"/>
      <c r="C33" s="104" t="s">
        <v>239</v>
      </c>
      <c r="D33" s="110" t="s">
        <v>224</v>
      </c>
      <c r="E33" s="111" t="s">
        <v>225</v>
      </c>
      <c r="F33" s="111" t="s">
        <v>226</v>
      </c>
      <c r="G33" s="103"/>
      <c r="H33" s="103"/>
      <c r="I33" s="103"/>
      <c r="J33" s="130"/>
      <c r="K33" s="130"/>
      <c r="L33" s="51"/>
      <c r="M33" s="51"/>
      <c r="N33" s="51"/>
      <c r="O33" s="142"/>
      <c r="P33" s="51"/>
      <c r="Q33" s="51"/>
      <c r="R33" s="142"/>
      <c r="S33" s="51"/>
      <c r="T33" s="51"/>
      <c r="U33" s="142"/>
      <c r="V33" s="51"/>
      <c r="W33" s="51"/>
      <c r="X33" s="38"/>
      <c r="Y33" s="129"/>
      <c r="Z33" s="129"/>
      <c r="AA33" s="129"/>
      <c r="AB33" s="129"/>
      <c r="AC33" s="129"/>
      <c r="AD33" s="129"/>
    </row>
    <row r="34" spans="1:30" s="124" customFormat="1" ht="241.5" customHeight="1">
      <c r="A34" s="38"/>
      <c r="B34" s="37"/>
      <c r="C34" s="104" t="s">
        <v>240</v>
      </c>
      <c r="D34" s="102" t="s">
        <v>50</v>
      </c>
      <c r="E34" s="102" t="s">
        <v>51</v>
      </c>
      <c r="F34" s="102" t="s">
        <v>293</v>
      </c>
      <c r="G34" s="108" t="s">
        <v>198</v>
      </c>
      <c r="H34" s="103" t="s">
        <v>199</v>
      </c>
      <c r="I34" s="106" t="s">
        <v>200</v>
      </c>
      <c r="J34" s="130" t="s">
        <v>370</v>
      </c>
      <c r="K34" s="130" t="s">
        <v>371</v>
      </c>
      <c r="L34" s="51">
        <f>29627.6+1776.4+12150.1+17777</f>
        <v>61331.1</v>
      </c>
      <c r="M34" s="51">
        <f>29377.4+1775.8+11831.2+17212.5</f>
        <v>60196.9</v>
      </c>
      <c r="N34" s="51">
        <f>31187.1+2088.4+12638.3+18390.7</f>
        <v>64304.5</v>
      </c>
      <c r="O34" s="133">
        <f>P34+Q34</f>
        <v>53364.200000000004</v>
      </c>
      <c r="P34" s="51">
        <f>15029.3+2200.1+14176.6+21533.9</f>
        <v>52939.9</v>
      </c>
      <c r="Q34" s="51">
        <f>102.8+19.9+22.3+279.3</f>
        <v>424.3</v>
      </c>
      <c r="R34" s="133">
        <f>S34+T34</f>
        <v>52085.5</v>
      </c>
      <c r="S34" s="51">
        <f>13494-106.9+2167.4+14359.7+22044.2</f>
        <v>51958.4</v>
      </c>
      <c r="T34" s="51">
        <f>106.9+20.2</f>
        <v>127.10000000000001</v>
      </c>
      <c r="U34" s="133">
        <f>V34+W34</f>
        <v>53922.8</v>
      </c>
      <c r="V34" s="51">
        <f>13863.6+2248.6+14892.7+22785.5</f>
        <v>53790.4</v>
      </c>
      <c r="W34" s="51">
        <f>111.3+21.1</f>
        <v>132.4</v>
      </c>
      <c r="X34" s="38"/>
      <c r="Y34" s="129"/>
      <c r="Z34" s="129"/>
      <c r="AA34" s="129"/>
      <c r="AB34" s="129"/>
      <c r="AC34" s="129"/>
      <c r="AD34" s="129"/>
    </row>
    <row r="35" spans="1:30" s="124" customFormat="1" ht="75.75" customHeight="1">
      <c r="A35" s="38"/>
      <c r="B35" s="37"/>
      <c r="C35" s="104" t="s">
        <v>278</v>
      </c>
      <c r="D35" s="102" t="s">
        <v>280</v>
      </c>
      <c r="E35" s="102" t="s">
        <v>168</v>
      </c>
      <c r="F35" s="112" t="s">
        <v>281</v>
      </c>
      <c r="G35" s="108"/>
      <c r="H35" s="103"/>
      <c r="I35" s="106"/>
      <c r="J35" s="130" t="s">
        <v>23</v>
      </c>
      <c r="K35" s="130" t="s">
        <v>108</v>
      </c>
      <c r="L35" s="51"/>
      <c r="M35" s="51"/>
      <c r="N35" s="51">
        <f>2172.6+816.1-300</f>
        <v>2688.7</v>
      </c>
      <c r="O35" s="133"/>
      <c r="P35" s="51"/>
      <c r="Q35" s="51"/>
      <c r="R35" s="133"/>
      <c r="S35" s="51"/>
      <c r="T35" s="51"/>
      <c r="U35" s="133"/>
      <c r="V35" s="51"/>
      <c r="W35" s="51"/>
      <c r="X35" s="38"/>
      <c r="Y35" s="129"/>
      <c r="Z35" s="129"/>
      <c r="AA35" s="129"/>
      <c r="AB35" s="129"/>
      <c r="AC35" s="129"/>
      <c r="AD35" s="129"/>
    </row>
    <row r="36" spans="1:30" s="124" customFormat="1" ht="90" customHeight="1">
      <c r="A36" s="38"/>
      <c r="B36" s="37"/>
      <c r="C36" s="104" t="s">
        <v>279</v>
      </c>
      <c r="D36" s="102" t="s">
        <v>282</v>
      </c>
      <c r="E36" s="102" t="s">
        <v>168</v>
      </c>
      <c r="F36" s="112" t="s">
        <v>283</v>
      </c>
      <c r="G36" s="108"/>
      <c r="H36" s="103"/>
      <c r="I36" s="106"/>
      <c r="J36" s="130" t="s">
        <v>23</v>
      </c>
      <c r="K36" s="130" t="s">
        <v>108</v>
      </c>
      <c r="L36" s="51"/>
      <c r="M36" s="51"/>
      <c r="N36" s="51">
        <f>3591.2+2600</f>
        <v>6191.2</v>
      </c>
      <c r="O36" s="133">
        <f>P36+Q36</f>
        <v>0</v>
      </c>
      <c r="P36" s="51"/>
      <c r="Q36" s="51"/>
      <c r="R36" s="133">
        <f>S36+T36</f>
        <v>0</v>
      </c>
      <c r="S36" s="51"/>
      <c r="T36" s="51"/>
      <c r="U36" s="133">
        <f>V36+W36</f>
        <v>0</v>
      </c>
      <c r="V36" s="51"/>
      <c r="W36" s="51"/>
      <c r="X36" s="38"/>
      <c r="Y36" s="129"/>
      <c r="Z36" s="129"/>
      <c r="AA36" s="129"/>
      <c r="AB36" s="129"/>
      <c r="AC36" s="129"/>
      <c r="AD36" s="129"/>
    </row>
    <row r="37" spans="1:30" s="124" customFormat="1" ht="297" customHeight="1">
      <c r="A37" s="38"/>
      <c r="B37" s="37"/>
      <c r="C37" s="104" t="s">
        <v>241</v>
      </c>
      <c r="D37" s="102" t="s">
        <v>35</v>
      </c>
      <c r="E37" s="102" t="s">
        <v>147</v>
      </c>
      <c r="F37" s="102" t="s">
        <v>294</v>
      </c>
      <c r="G37" s="108" t="s">
        <v>201</v>
      </c>
      <c r="H37" s="103" t="s">
        <v>202</v>
      </c>
      <c r="I37" s="106" t="s">
        <v>203</v>
      </c>
      <c r="J37" s="130" t="s">
        <v>272</v>
      </c>
      <c r="K37" s="130" t="s">
        <v>271</v>
      </c>
      <c r="L37" s="51">
        <f>16401-2030.4-41</f>
        <v>14329.6</v>
      </c>
      <c r="M37" s="51">
        <f>16401-2030.4-41-14329.6</f>
        <v>0</v>
      </c>
      <c r="N37" s="51"/>
      <c r="O37" s="133">
        <f>P37+Q37</f>
        <v>0</v>
      </c>
      <c r="P37" s="51"/>
      <c r="Q37" s="51"/>
      <c r="R37" s="133">
        <f>S37+T37</f>
        <v>0</v>
      </c>
      <c r="S37" s="51"/>
      <c r="T37" s="51"/>
      <c r="U37" s="133">
        <f>V37+W37</f>
        <v>0</v>
      </c>
      <c r="V37" s="51"/>
      <c r="W37" s="51"/>
      <c r="X37" s="38"/>
      <c r="Y37" s="129"/>
      <c r="Z37" s="129"/>
      <c r="AA37" s="129"/>
      <c r="AB37" s="129"/>
      <c r="AC37" s="129"/>
      <c r="AD37" s="129"/>
    </row>
    <row r="38" spans="1:30" s="124" customFormat="1" ht="310.5" customHeight="1">
      <c r="A38" s="38"/>
      <c r="B38" s="37"/>
      <c r="C38" s="104" t="s">
        <v>242</v>
      </c>
      <c r="D38" s="102" t="s">
        <v>183</v>
      </c>
      <c r="E38" s="102" t="s">
        <v>184</v>
      </c>
      <c r="F38" s="102" t="s">
        <v>295</v>
      </c>
      <c r="G38" s="102" t="s">
        <v>185</v>
      </c>
      <c r="H38" s="102" t="s">
        <v>186</v>
      </c>
      <c r="I38" s="102" t="s">
        <v>187</v>
      </c>
      <c r="J38" s="130" t="s">
        <v>146</v>
      </c>
      <c r="K38" s="130" t="s">
        <v>108</v>
      </c>
      <c r="L38" s="51">
        <f>2024.5</f>
        <v>2024.5</v>
      </c>
      <c r="M38" s="51">
        <f>2024.5</f>
        <v>2024.5</v>
      </c>
      <c r="N38" s="51">
        <f>2111.9-4</f>
        <v>2107.9</v>
      </c>
      <c r="O38" s="133">
        <f>P38+Q38</f>
        <v>2204.4</v>
      </c>
      <c r="P38" s="51">
        <v>2204.4</v>
      </c>
      <c r="Q38" s="51"/>
      <c r="R38" s="133">
        <f>S38+T38</f>
        <v>1811.5</v>
      </c>
      <c r="S38" s="51">
        <v>1811.5</v>
      </c>
      <c r="T38" s="51"/>
      <c r="U38" s="133">
        <f>V38+W38</f>
        <v>1871</v>
      </c>
      <c r="V38" s="51">
        <v>1871</v>
      </c>
      <c r="W38" s="51"/>
      <c r="X38" s="38"/>
      <c r="Y38" s="129"/>
      <c r="Z38" s="129"/>
      <c r="AA38" s="129"/>
      <c r="AB38" s="129"/>
      <c r="AC38" s="129"/>
      <c r="AD38" s="129"/>
    </row>
    <row r="39" spans="1:30" s="124" customFormat="1" ht="363" customHeight="1">
      <c r="A39" s="38"/>
      <c r="B39" s="37"/>
      <c r="C39" s="104" t="s">
        <v>243</v>
      </c>
      <c r="D39" s="102" t="s">
        <v>32</v>
      </c>
      <c r="E39" s="102" t="s">
        <v>195</v>
      </c>
      <c r="F39" s="102" t="s">
        <v>296</v>
      </c>
      <c r="G39" s="105" t="s">
        <v>33</v>
      </c>
      <c r="H39" s="105" t="s">
        <v>196</v>
      </c>
      <c r="I39" s="105" t="s">
        <v>34</v>
      </c>
      <c r="J39" s="130" t="s">
        <v>259</v>
      </c>
      <c r="K39" s="130" t="s">
        <v>260</v>
      </c>
      <c r="L39" s="51">
        <f>6.6+11+36+1+13+11.5+8+56.2-10.4</f>
        <v>132.9</v>
      </c>
      <c r="M39" s="51">
        <f>6.6+11+36+1+13+11.5+8+56.2-10.4-0.3</f>
        <v>132.6</v>
      </c>
      <c r="N39" s="51">
        <f>74.7+20</f>
        <v>94.7</v>
      </c>
      <c r="O39" s="133">
        <f>P39+Q39</f>
        <v>105</v>
      </c>
      <c r="P39" s="51">
        <f>75.5+29.5</f>
        <v>105</v>
      </c>
      <c r="Q39" s="51"/>
      <c r="R39" s="133">
        <f>S39+T39</f>
        <v>59</v>
      </c>
      <c r="S39" s="51">
        <f>59</f>
        <v>59</v>
      </c>
      <c r="T39" s="51"/>
      <c r="U39" s="133">
        <f>V39+W39</f>
        <v>85</v>
      </c>
      <c r="V39" s="51">
        <f>75+10</f>
        <v>85</v>
      </c>
      <c r="W39" s="51"/>
      <c r="X39" s="38"/>
      <c r="Y39" s="129"/>
      <c r="Z39" s="129"/>
      <c r="AA39" s="129"/>
      <c r="AB39" s="129"/>
      <c r="AC39" s="129"/>
      <c r="AD39" s="129"/>
    </row>
    <row r="40" spans="1:30" s="124" customFormat="1" ht="11.25">
      <c r="A40" s="38"/>
      <c r="B40" s="37"/>
      <c r="C40" s="104" t="s">
        <v>7</v>
      </c>
      <c r="D40" s="110"/>
      <c r="E40" s="111"/>
      <c r="F40" s="111"/>
      <c r="G40" s="103"/>
      <c r="H40" s="103"/>
      <c r="I40" s="103"/>
      <c r="J40" s="130"/>
      <c r="K40" s="130"/>
      <c r="L40" s="51"/>
      <c r="M40" s="51"/>
      <c r="N40" s="51"/>
      <c r="O40" s="142"/>
      <c r="P40" s="51"/>
      <c r="Q40" s="51"/>
      <c r="R40" s="142"/>
      <c r="S40" s="51"/>
      <c r="T40" s="51"/>
      <c r="U40" s="142"/>
      <c r="V40" s="51"/>
      <c r="W40" s="51"/>
      <c r="X40" s="38"/>
      <c r="Y40" s="129"/>
      <c r="Z40" s="129"/>
      <c r="AA40" s="129"/>
      <c r="AB40" s="129"/>
      <c r="AC40" s="129"/>
      <c r="AD40" s="129"/>
    </row>
    <row r="41" spans="1:30" s="124" customFormat="1" ht="11.25">
      <c r="A41" s="38"/>
      <c r="B41" s="37"/>
      <c r="C41" s="37" t="s">
        <v>7</v>
      </c>
      <c r="D41" s="110"/>
      <c r="E41" s="111"/>
      <c r="F41" s="111"/>
      <c r="G41" s="103"/>
      <c r="H41" s="103"/>
      <c r="I41" s="103"/>
      <c r="J41" s="130"/>
      <c r="K41" s="130"/>
      <c r="L41" s="51"/>
      <c r="M41" s="51"/>
      <c r="N41" s="51"/>
      <c r="O41" s="142"/>
      <c r="P41" s="51"/>
      <c r="Q41" s="51"/>
      <c r="R41" s="142"/>
      <c r="S41" s="51"/>
      <c r="T41" s="51"/>
      <c r="U41" s="142"/>
      <c r="V41" s="51"/>
      <c r="W41" s="51"/>
      <c r="X41" s="38"/>
      <c r="Y41" s="129"/>
      <c r="Z41" s="129"/>
      <c r="AA41" s="129"/>
      <c r="AB41" s="129"/>
      <c r="AC41" s="129"/>
      <c r="AD41" s="129"/>
    </row>
    <row r="42" spans="1:30" s="124" customFormat="1" ht="11.25">
      <c r="A42" s="38"/>
      <c r="B42" s="37"/>
      <c r="C42" s="37" t="s">
        <v>7</v>
      </c>
      <c r="D42" s="110"/>
      <c r="E42" s="111"/>
      <c r="F42" s="111"/>
      <c r="G42" s="103"/>
      <c r="H42" s="103"/>
      <c r="I42" s="103"/>
      <c r="J42" s="130"/>
      <c r="K42" s="130"/>
      <c r="L42" s="51"/>
      <c r="M42" s="51"/>
      <c r="N42" s="51"/>
      <c r="O42" s="142"/>
      <c r="P42" s="51"/>
      <c r="Q42" s="51"/>
      <c r="R42" s="142"/>
      <c r="S42" s="51"/>
      <c r="T42" s="51"/>
      <c r="U42" s="142"/>
      <c r="V42" s="51"/>
      <c r="W42" s="51"/>
      <c r="X42" s="38"/>
      <c r="Y42" s="129"/>
      <c r="Z42" s="129"/>
      <c r="AA42" s="129"/>
      <c r="AB42" s="129"/>
      <c r="AC42" s="129"/>
      <c r="AD42" s="129"/>
    </row>
    <row r="43" spans="1:30" s="124" customFormat="1" ht="183.75" customHeight="1">
      <c r="A43" s="38"/>
      <c r="B43" s="174"/>
      <c r="C43" s="175" t="s">
        <v>244</v>
      </c>
      <c r="D43" s="177" t="s">
        <v>19</v>
      </c>
      <c r="E43" s="158" t="s">
        <v>19</v>
      </c>
      <c r="F43" s="158" t="s">
        <v>19</v>
      </c>
      <c r="G43" s="158" t="s">
        <v>19</v>
      </c>
      <c r="H43" s="158" t="s">
        <v>19</v>
      </c>
      <c r="I43" s="158" t="s">
        <v>19</v>
      </c>
      <c r="J43" s="162" t="s">
        <v>19</v>
      </c>
      <c r="K43" s="162" t="s">
        <v>19</v>
      </c>
      <c r="L43" s="180">
        <f>L45</f>
        <v>141900.3</v>
      </c>
      <c r="M43" s="180">
        <f>M45</f>
        <v>141155.9</v>
      </c>
      <c r="N43" s="180">
        <f>N45</f>
        <v>138291.80000000002</v>
      </c>
      <c r="O43" s="183">
        <f>P43+Q43</f>
        <v>143972.49999999997</v>
      </c>
      <c r="P43" s="180">
        <f>P45</f>
        <v>143972.49999999997</v>
      </c>
      <c r="Q43" s="180">
        <f>Q45</f>
        <v>0</v>
      </c>
      <c r="R43" s="183">
        <f>S43+T43</f>
        <v>145562.39999999997</v>
      </c>
      <c r="S43" s="180">
        <f>S45</f>
        <v>145562.39999999997</v>
      </c>
      <c r="T43" s="180">
        <f>T45</f>
        <v>0</v>
      </c>
      <c r="U43" s="183">
        <f>V43+W43</f>
        <v>146225.40000000002</v>
      </c>
      <c r="V43" s="180">
        <f>V45</f>
        <v>146225.40000000002</v>
      </c>
      <c r="W43" s="186">
        <f>W45</f>
        <v>0</v>
      </c>
      <c r="X43" s="39"/>
      <c r="Y43" s="129"/>
      <c r="Z43" s="129"/>
      <c r="AA43" s="129"/>
      <c r="AB43" s="129"/>
      <c r="AC43" s="129"/>
      <c r="AD43" s="129"/>
    </row>
    <row r="44" spans="1:30" s="124" customFormat="1" ht="11.25">
      <c r="A44" s="38"/>
      <c r="B44" s="174"/>
      <c r="C44" s="176"/>
      <c r="D44" s="178"/>
      <c r="E44" s="159"/>
      <c r="F44" s="159"/>
      <c r="G44" s="159"/>
      <c r="H44" s="159"/>
      <c r="I44" s="159"/>
      <c r="J44" s="163"/>
      <c r="K44" s="163"/>
      <c r="L44" s="181"/>
      <c r="M44" s="181"/>
      <c r="N44" s="182"/>
      <c r="O44" s="184"/>
      <c r="P44" s="181"/>
      <c r="Q44" s="181"/>
      <c r="R44" s="184"/>
      <c r="S44" s="181"/>
      <c r="T44" s="181"/>
      <c r="U44" s="184"/>
      <c r="V44" s="181"/>
      <c r="W44" s="179"/>
      <c r="X44" s="39"/>
      <c r="Y44" s="129"/>
      <c r="Z44" s="129"/>
      <c r="AA44" s="129"/>
      <c r="AB44" s="129"/>
      <c r="AC44" s="129"/>
      <c r="AD44" s="129"/>
    </row>
    <row r="45" spans="1:30" s="124" customFormat="1" ht="57" customHeight="1">
      <c r="A45" s="38"/>
      <c r="B45" s="37"/>
      <c r="C45" s="45" t="s">
        <v>292</v>
      </c>
      <c r="D45" s="108" t="s">
        <v>19</v>
      </c>
      <c r="E45" s="103" t="s">
        <v>19</v>
      </c>
      <c r="F45" s="103" t="s">
        <v>19</v>
      </c>
      <c r="G45" s="103" t="s">
        <v>19</v>
      </c>
      <c r="H45" s="103" t="s">
        <v>19</v>
      </c>
      <c r="I45" s="103" t="s">
        <v>19</v>
      </c>
      <c r="J45" s="130" t="s">
        <v>19</v>
      </c>
      <c r="K45" s="130" t="s">
        <v>19</v>
      </c>
      <c r="L45" s="51">
        <f>SUM(L47:L77)</f>
        <v>141900.3</v>
      </c>
      <c r="M45" s="51">
        <f>SUM(M47:M77)</f>
        <v>141155.9</v>
      </c>
      <c r="N45" s="51">
        <f>SUM(N47:N77)</f>
        <v>138291.80000000002</v>
      </c>
      <c r="O45" s="142">
        <f>SUM(O47:O77)</f>
        <v>143972.49999999997</v>
      </c>
      <c r="P45" s="51">
        <f>SUM(P47:P77)</f>
        <v>143972.49999999997</v>
      </c>
      <c r="Q45" s="51">
        <f>SUM(Q47:Q77)</f>
        <v>0</v>
      </c>
      <c r="R45" s="142">
        <f>S45+T45</f>
        <v>145562.39999999997</v>
      </c>
      <c r="S45" s="51">
        <f>SUM(S47:S78)</f>
        <v>145562.39999999997</v>
      </c>
      <c r="T45" s="51">
        <f>SUM(T47:T78)</f>
        <v>0</v>
      </c>
      <c r="U45" s="142">
        <f>SUM(U47:U78)</f>
        <v>145756.7</v>
      </c>
      <c r="V45" s="51">
        <f>SUM(V47:V78)</f>
        <v>146225.40000000002</v>
      </c>
      <c r="W45" s="51">
        <f>SUM(W47:W78)</f>
        <v>0</v>
      </c>
      <c r="X45" s="39"/>
      <c r="Y45" s="129"/>
      <c r="Z45" s="129"/>
      <c r="AA45" s="129"/>
      <c r="AB45" s="129"/>
      <c r="AC45" s="129"/>
      <c r="AD45" s="129"/>
    </row>
    <row r="46" spans="1:30" s="124" customFormat="1" ht="18.75" customHeight="1">
      <c r="A46" s="38"/>
      <c r="B46" s="37"/>
      <c r="C46" s="37" t="s">
        <v>228</v>
      </c>
      <c r="D46" s="108"/>
      <c r="E46" s="103"/>
      <c r="F46" s="103"/>
      <c r="G46" s="103"/>
      <c r="H46" s="103"/>
      <c r="I46" s="103"/>
      <c r="J46" s="130"/>
      <c r="K46" s="130"/>
      <c r="L46" s="51"/>
      <c r="M46" s="51"/>
      <c r="N46" s="51"/>
      <c r="O46" s="133"/>
      <c r="P46" s="51"/>
      <c r="Q46" s="51"/>
      <c r="R46" s="133"/>
      <c r="S46" s="51"/>
      <c r="T46" s="51"/>
      <c r="U46" s="133"/>
      <c r="V46" s="51"/>
      <c r="W46" s="51"/>
      <c r="X46" s="39"/>
      <c r="Y46" s="129"/>
      <c r="Z46" s="129"/>
      <c r="AA46" s="129"/>
      <c r="AB46" s="129"/>
      <c r="AC46" s="129"/>
      <c r="AD46" s="129"/>
    </row>
    <row r="47" spans="1:30" s="124" customFormat="1" ht="249.75" customHeight="1">
      <c r="A47" s="38"/>
      <c r="B47" s="37"/>
      <c r="C47" s="81" t="s">
        <v>416</v>
      </c>
      <c r="D47" s="47" t="s">
        <v>208</v>
      </c>
      <c r="E47" s="47" t="s">
        <v>209</v>
      </c>
      <c r="F47" s="47" t="s">
        <v>210</v>
      </c>
      <c r="G47" s="47" t="s">
        <v>211</v>
      </c>
      <c r="H47" s="83" t="s">
        <v>212</v>
      </c>
      <c r="I47" s="84" t="s">
        <v>213</v>
      </c>
      <c r="J47" s="85" t="s">
        <v>214</v>
      </c>
      <c r="K47" s="85" t="s">
        <v>21</v>
      </c>
      <c r="L47" s="86">
        <v>32166</v>
      </c>
      <c r="M47" s="54">
        <v>32119</v>
      </c>
      <c r="N47" s="54">
        <v>32606.9</v>
      </c>
      <c r="O47" s="97">
        <v>34219.1</v>
      </c>
      <c r="P47" s="54">
        <v>34219.1</v>
      </c>
      <c r="Q47" s="54" t="s">
        <v>417</v>
      </c>
      <c r="R47" s="97">
        <v>34219.1</v>
      </c>
      <c r="S47" s="54">
        <v>34219.1</v>
      </c>
      <c r="T47" s="54" t="s">
        <v>417</v>
      </c>
      <c r="U47" s="97">
        <v>34219.1</v>
      </c>
      <c r="V47" s="54">
        <v>34219.1</v>
      </c>
      <c r="W47" s="54" t="s">
        <v>417</v>
      </c>
      <c r="X47" s="39"/>
      <c r="Y47" s="129"/>
      <c r="Z47" s="129"/>
      <c r="AA47" s="129"/>
      <c r="AB47" s="129"/>
      <c r="AC47" s="129"/>
      <c r="AD47" s="129"/>
    </row>
    <row r="48" spans="1:30" s="124" customFormat="1" ht="206.25" customHeight="1">
      <c r="A48" s="38"/>
      <c r="B48" s="37"/>
      <c r="C48" s="104" t="s">
        <v>245</v>
      </c>
      <c r="D48" s="102" t="s">
        <v>36</v>
      </c>
      <c r="E48" s="102" t="s">
        <v>37</v>
      </c>
      <c r="F48" s="102" t="s">
        <v>38</v>
      </c>
      <c r="G48" s="102" t="s">
        <v>39</v>
      </c>
      <c r="H48" s="113" t="s">
        <v>40</v>
      </c>
      <c r="I48" s="114" t="s">
        <v>41</v>
      </c>
      <c r="J48" s="132" t="s">
        <v>21</v>
      </c>
      <c r="K48" s="132" t="s">
        <v>22</v>
      </c>
      <c r="L48" s="51">
        <f>432.2+4.7+16</f>
        <v>452.9</v>
      </c>
      <c r="M48" s="51">
        <f>432.2+4.7+16</f>
        <v>452.9</v>
      </c>
      <c r="N48" s="51">
        <f>454.4+4.3</f>
        <v>458.7</v>
      </c>
      <c r="O48" s="133">
        <f>P48+Q48</f>
        <v>472</v>
      </c>
      <c r="P48" s="51">
        <v>472</v>
      </c>
      <c r="Q48" s="51"/>
      <c r="R48" s="133">
        <f>S48+T48</f>
        <v>472</v>
      </c>
      <c r="S48" s="51">
        <v>472</v>
      </c>
      <c r="T48" s="51"/>
      <c r="U48" s="133">
        <f>V48+W48</f>
        <v>472</v>
      </c>
      <c r="V48" s="51">
        <v>472</v>
      </c>
      <c r="W48" s="51"/>
      <c r="X48" s="39"/>
      <c r="Y48" s="129"/>
      <c r="Z48" s="129"/>
      <c r="AA48" s="129"/>
      <c r="AB48" s="129"/>
      <c r="AC48" s="129"/>
      <c r="AD48" s="129"/>
    </row>
    <row r="49" spans="1:30" s="124" customFormat="1" ht="0.75" customHeight="1" hidden="1">
      <c r="A49" s="38"/>
      <c r="B49" s="37"/>
      <c r="C49" s="104" t="s">
        <v>246</v>
      </c>
      <c r="D49" s="102" t="s">
        <v>208</v>
      </c>
      <c r="E49" s="102" t="s">
        <v>209</v>
      </c>
      <c r="F49" s="102" t="s">
        <v>210</v>
      </c>
      <c r="G49" s="102" t="s">
        <v>211</v>
      </c>
      <c r="H49" s="113" t="s">
        <v>212</v>
      </c>
      <c r="I49" s="114" t="s">
        <v>213</v>
      </c>
      <c r="J49" s="132" t="s">
        <v>214</v>
      </c>
      <c r="K49" s="132" t="s">
        <v>108</v>
      </c>
      <c r="L49" s="51"/>
      <c r="M49" s="51"/>
      <c r="N49" s="51"/>
      <c r="O49" s="142"/>
      <c r="P49" s="51"/>
      <c r="Q49" s="51"/>
      <c r="R49" s="142"/>
      <c r="S49" s="51"/>
      <c r="T49" s="51"/>
      <c r="U49" s="142"/>
      <c r="V49" s="51"/>
      <c r="W49" s="51"/>
      <c r="X49" s="39"/>
      <c r="Y49" s="129"/>
      <c r="Z49" s="129"/>
      <c r="AA49" s="129"/>
      <c r="AB49" s="129"/>
      <c r="AC49" s="129"/>
      <c r="AD49" s="129"/>
    </row>
    <row r="50" spans="1:30" s="124" customFormat="1" ht="45.75" customHeight="1" hidden="1">
      <c r="A50" s="38"/>
      <c r="B50" s="37"/>
      <c r="C50" s="104" t="s">
        <v>247</v>
      </c>
      <c r="D50" s="102" t="s">
        <v>35</v>
      </c>
      <c r="E50" s="102" t="s">
        <v>207</v>
      </c>
      <c r="F50" s="102" t="s">
        <v>128</v>
      </c>
      <c r="G50" s="102" t="s">
        <v>117</v>
      </c>
      <c r="H50" s="102" t="s">
        <v>118</v>
      </c>
      <c r="I50" s="102" t="s">
        <v>119</v>
      </c>
      <c r="J50" s="130" t="s">
        <v>22</v>
      </c>
      <c r="K50" s="130" t="s">
        <v>23</v>
      </c>
      <c r="L50" s="51"/>
      <c r="M50" s="51"/>
      <c r="N50" s="51"/>
      <c r="O50" s="142"/>
      <c r="P50" s="51"/>
      <c r="Q50" s="51"/>
      <c r="R50" s="142"/>
      <c r="S50" s="51"/>
      <c r="T50" s="51"/>
      <c r="U50" s="142"/>
      <c r="V50" s="51"/>
      <c r="W50" s="51"/>
      <c r="X50" s="39"/>
      <c r="Y50" s="129"/>
      <c r="Z50" s="129"/>
      <c r="AA50" s="129"/>
      <c r="AB50" s="129"/>
      <c r="AC50" s="129"/>
      <c r="AD50" s="129"/>
    </row>
    <row r="51" spans="1:30" s="124" customFormat="1" ht="105" customHeight="1">
      <c r="A51" s="38"/>
      <c r="B51" s="37"/>
      <c r="C51" s="64" t="s">
        <v>375</v>
      </c>
      <c r="D51" s="65"/>
      <c r="E51" s="65"/>
      <c r="F51" s="65"/>
      <c r="G51" s="65" t="s">
        <v>376</v>
      </c>
      <c r="H51" s="65" t="s">
        <v>377</v>
      </c>
      <c r="I51" s="65" t="s">
        <v>378</v>
      </c>
      <c r="J51" s="66" t="s">
        <v>22</v>
      </c>
      <c r="K51" s="66" t="s">
        <v>23</v>
      </c>
      <c r="L51" s="92">
        <v>4410.1</v>
      </c>
      <c r="M51" s="92">
        <v>4410.1</v>
      </c>
      <c r="N51" s="92">
        <v>5096.6</v>
      </c>
      <c r="O51" s="98">
        <v>4695.5</v>
      </c>
      <c r="P51" s="92">
        <v>4695.5</v>
      </c>
      <c r="Q51" s="92"/>
      <c r="R51" s="98">
        <v>4595.5</v>
      </c>
      <c r="S51" s="92">
        <v>4595.5</v>
      </c>
      <c r="T51" s="91"/>
      <c r="U51" s="98">
        <v>4595.5</v>
      </c>
      <c r="V51" s="92">
        <v>4595.5</v>
      </c>
      <c r="W51" s="91"/>
      <c r="X51" s="39"/>
      <c r="Y51" s="129"/>
      <c r="Z51" s="129"/>
      <c r="AA51" s="129"/>
      <c r="AB51" s="129"/>
      <c r="AC51" s="129"/>
      <c r="AD51" s="129"/>
    </row>
    <row r="52" spans="1:30" s="124" customFormat="1" ht="209.25" customHeight="1">
      <c r="A52" s="38"/>
      <c r="B52" s="37"/>
      <c r="C52" s="81" t="s">
        <v>418</v>
      </c>
      <c r="D52" s="47" t="s">
        <v>35</v>
      </c>
      <c r="E52" s="47" t="s">
        <v>419</v>
      </c>
      <c r="F52" s="47" t="s">
        <v>294</v>
      </c>
      <c r="G52" s="84" t="s">
        <v>420</v>
      </c>
      <c r="H52" s="83" t="s">
        <v>421</v>
      </c>
      <c r="I52" s="84" t="s">
        <v>422</v>
      </c>
      <c r="J52" s="85" t="s">
        <v>214</v>
      </c>
      <c r="K52" s="85" t="s">
        <v>313</v>
      </c>
      <c r="L52" s="86">
        <v>515.1</v>
      </c>
      <c r="M52" s="54">
        <v>502.8</v>
      </c>
      <c r="N52" s="54">
        <v>517.2</v>
      </c>
      <c r="O52" s="97">
        <v>537.7</v>
      </c>
      <c r="P52" s="54">
        <v>537.7</v>
      </c>
      <c r="Q52" s="54" t="s">
        <v>417</v>
      </c>
      <c r="R52" s="97">
        <v>548.2</v>
      </c>
      <c r="S52" s="54">
        <v>548.2</v>
      </c>
      <c r="T52" s="54" t="s">
        <v>417</v>
      </c>
      <c r="U52" s="97">
        <v>559.5</v>
      </c>
      <c r="V52" s="54">
        <v>559.5</v>
      </c>
      <c r="W52" s="54" t="s">
        <v>417</v>
      </c>
      <c r="X52" s="39"/>
      <c r="Y52" s="129"/>
      <c r="Z52" s="129"/>
      <c r="AA52" s="129"/>
      <c r="AB52" s="129"/>
      <c r="AC52" s="129"/>
      <c r="AD52" s="129"/>
    </row>
    <row r="53" spans="1:30" s="124" customFormat="1" ht="131.25" customHeight="1">
      <c r="A53" s="38"/>
      <c r="B53" s="37"/>
      <c r="C53" s="81" t="s">
        <v>423</v>
      </c>
      <c r="D53" s="47" t="s">
        <v>35</v>
      </c>
      <c r="E53" s="47" t="s">
        <v>207</v>
      </c>
      <c r="F53" s="47" t="s">
        <v>128</v>
      </c>
      <c r="G53" s="87" t="s">
        <v>424</v>
      </c>
      <c r="H53" s="88" t="s">
        <v>168</v>
      </c>
      <c r="I53" s="88">
        <v>39332</v>
      </c>
      <c r="J53" s="85" t="s">
        <v>214</v>
      </c>
      <c r="K53" s="85" t="s">
        <v>313</v>
      </c>
      <c r="L53" s="86">
        <v>449.8</v>
      </c>
      <c r="M53" s="54">
        <v>449.8</v>
      </c>
      <c r="N53" s="54">
        <v>518.8</v>
      </c>
      <c r="O53" s="97">
        <v>468.7</v>
      </c>
      <c r="P53" s="54">
        <v>468.7</v>
      </c>
      <c r="Q53" s="54" t="s">
        <v>417</v>
      </c>
      <c r="R53" s="97">
        <v>468.7</v>
      </c>
      <c r="S53" s="54">
        <v>468.7</v>
      </c>
      <c r="T53" s="54" t="s">
        <v>417</v>
      </c>
      <c r="U53" s="97" t="s">
        <v>425</v>
      </c>
      <c r="V53" s="54">
        <v>468.7</v>
      </c>
      <c r="W53" s="54" t="s">
        <v>417</v>
      </c>
      <c r="X53" s="39"/>
      <c r="Y53" s="129"/>
      <c r="Z53" s="129"/>
      <c r="AA53" s="129"/>
      <c r="AB53" s="129"/>
      <c r="AC53" s="129"/>
      <c r="AD53" s="129"/>
    </row>
    <row r="54" spans="1:30" s="124" customFormat="1" ht="254.25" customHeight="1">
      <c r="A54" s="38"/>
      <c r="B54" s="37"/>
      <c r="C54" s="81" t="s">
        <v>246</v>
      </c>
      <c r="D54" s="47" t="s">
        <v>208</v>
      </c>
      <c r="E54" s="47" t="s">
        <v>209</v>
      </c>
      <c r="F54" s="47" t="s">
        <v>210</v>
      </c>
      <c r="G54" s="47" t="s">
        <v>211</v>
      </c>
      <c r="H54" s="83" t="s">
        <v>212</v>
      </c>
      <c r="I54" s="84" t="s">
        <v>213</v>
      </c>
      <c r="J54" s="85" t="s">
        <v>214</v>
      </c>
      <c r="K54" s="85" t="s">
        <v>108</v>
      </c>
      <c r="L54" s="86">
        <v>66298.3</v>
      </c>
      <c r="M54" s="54">
        <v>65681.8</v>
      </c>
      <c r="N54" s="54">
        <v>60498.5</v>
      </c>
      <c r="O54" s="97">
        <v>61470.7</v>
      </c>
      <c r="P54" s="54">
        <v>61470.7</v>
      </c>
      <c r="Q54" s="54">
        <v>0</v>
      </c>
      <c r="R54" s="97">
        <v>61470.7</v>
      </c>
      <c r="S54" s="54">
        <v>61470.7</v>
      </c>
      <c r="T54" s="54">
        <v>0</v>
      </c>
      <c r="U54" s="97">
        <v>61470.7</v>
      </c>
      <c r="V54" s="54">
        <v>61470.7</v>
      </c>
      <c r="W54" s="54">
        <v>0</v>
      </c>
      <c r="X54" s="39"/>
      <c r="Y54" s="129"/>
      <c r="Z54" s="129"/>
      <c r="AA54" s="129"/>
      <c r="AB54" s="129"/>
      <c r="AC54" s="129"/>
      <c r="AD54" s="129"/>
    </row>
    <row r="55" spans="1:30" s="124" customFormat="1" ht="254.25" customHeight="1">
      <c r="A55" s="38"/>
      <c r="B55" s="37"/>
      <c r="C55" s="81" t="s">
        <v>426</v>
      </c>
      <c r="D55" s="47" t="s">
        <v>427</v>
      </c>
      <c r="E55" s="47" t="s">
        <v>428</v>
      </c>
      <c r="F55" s="47" t="s">
        <v>429</v>
      </c>
      <c r="G55" s="84" t="s">
        <v>430</v>
      </c>
      <c r="H55" s="83" t="s">
        <v>431</v>
      </c>
      <c r="I55" s="84" t="s">
        <v>432</v>
      </c>
      <c r="J55" s="85" t="s">
        <v>24</v>
      </c>
      <c r="K55" s="85" t="s">
        <v>22</v>
      </c>
      <c r="L55" s="86">
        <v>2015.5</v>
      </c>
      <c r="M55" s="54">
        <v>2015.5</v>
      </c>
      <c r="N55" s="54">
        <v>2139.6</v>
      </c>
      <c r="O55" s="97">
        <v>2011.3</v>
      </c>
      <c r="P55" s="54">
        <v>2011.3</v>
      </c>
      <c r="Q55" s="54">
        <v>0</v>
      </c>
      <c r="R55" s="97">
        <v>2011.3</v>
      </c>
      <c r="S55" s="54">
        <v>2011.3</v>
      </c>
      <c r="T55" s="54" t="s">
        <v>417</v>
      </c>
      <c r="U55" s="97">
        <v>2011.3</v>
      </c>
      <c r="V55" s="54">
        <v>2011.3</v>
      </c>
      <c r="W55" s="54">
        <v>0</v>
      </c>
      <c r="X55" s="39"/>
      <c r="Y55" s="129"/>
      <c r="Z55" s="129"/>
      <c r="AA55" s="129"/>
      <c r="AB55" s="129"/>
      <c r="AC55" s="129"/>
      <c r="AD55" s="129"/>
    </row>
    <row r="56" spans="1:30" s="124" customFormat="1" ht="161.25" customHeight="1">
      <c r="A56" s="38"/>
      <c r="B56" s="37"/>
      <c r="C56" s="56" t="s">
        <v>379</v>
      </c>
      <c r="D56" s="68"/>
      <c r="E56" s="68"/>
      <c r="F56" s="68"/>
      <c r="G56" s="69" t="s">
        <v>380</v>
      </c>
      <c r="H56" s="70" t="s">
        <v>381</v>
      </c>
      <c r="I56" s="70" t="s">
        <v>382</v>
      </c>
      <c r="J56" s="41" t="s">
        <v>22</v>
      </c>
      <c r="K56" s="71" t="s">
        <v>23</v>
      </c>
      <c r="L56" s="92">
        <v>969.7</v>
      </c>
      <c r="M56" s="52">
        <v>969.7</v>
      </c>
      <c r="N56" s="52">
        <v>2144.1</v>
      </c>
      <c r="O56" s="98">
        <v>1093.2</v>
      </c>
      <c r="P56" s="52">
        <v>1093.2</v>
      </c>
      <c r="Q56" s="54"/>
      <c r="R56" s="98">
        <v>1063.4</v>
      </c>
      <c r="S56" s="52">
        <v>1063.4</v>
      </c>
      <c r="T56" s="54"/>
      <c r="U56" s="98">
        <v>1030.1</v>
      </c>
      <c r="V56" s="52">
        <v>1030.1</v>
      </c>
      <c r="W56" s="80"/>
      <c r="X56" s="39"/>
      <c r="Y56" s="129"/>
      <c r="Z56" s="129"/>
      <c r="AA56" s="129"/>
      <c r="AB56" s="129"/>
      <c r="AC56" s="129"/>
      <c r="AD56" s="129"/>
    </row>
    <row r="57" spans="1:30" s="124" customFormat="1" ht="162" customHeight="1">
      <c r="A57" s="38"/>
      <c r="B57" s="37"/>
      <c r="C57" s="56" t="s">
        <v>383</v>
      </c>
      <c r="D57" s="72"/>
      <c r="E57" s="68"/>
      <c r="F57" s="68"/>
      <c r="G57" s="69" t="s">
        <v>380</v>
      </c>
      <c r="H57" s="70" t="s">
        <v>381</v>
      </c>
      <c r="I57" s="70" t="s">
        <v>384</v>
      </c>
      <c r="J57" s="41" t="s">
        <v>22</v>
      </c>
      <c r="K57" s="71" t="s">
        <v>23</v>
      </c>
      <c r="L57" s="92">
        <v>61.1</v>
      </c>
      <c r="M57" s="52">
        <v>61.1</v>
      </c>
      <c r="N57" s="52">
        <v>281.7</v>
      </c>
      <c r="O57" s="98">
        <v>2831.4</v>
      </c>
      <c r="P57" s="52">
        <v>2831.4</v>
      </c>
      <c r="Q57" s="54"/>
      <c r="R57" s="101">
        <v>2831.4</v>
      </c>
      <c r="S57" s="92">
        <v>2831.4</v>
      </c>
      <c r="T57" s="54"/>
      <c r="U57" s="98">
        <v>2887.7</v>
      </c>
      <c r="V57" s="52">
        <v>2887.7</v>
      </c>
      <c r="W57" s="80"/>
      <c r="X57" s="39"/>
      <c r="Y57" s="129"/>
      <c r="Z57" s="129"/>
      <c r="AA57" s="129"/>
      <c r="AB57" s="129"/>
      <c r="AC57" s="129"/>
      <c r="AD57" s="129"/>
    </row>
    <row r="58" spans="1:30" s="124" customFormat="1" ht="162" customHeight="1">
      <c r="A58" s="38"/>
      <c r="B58" s="37"/>
      <c r="C58" s="56" t="s">
        <v>385</v>
      </c>
      <c r="D58" s="68"/>
      <c r="E58" s="68"/>
      <c r="F58" s="68"/>
      <c r="G58" s="69" t="s">
        <v>380</v>
      </c>
      <c r="H58" s="70" t="s">
        <v>381</v>
      </c>
      <c r="I58" s="70" t="s">
        <v>386</v>
      </c>
      <c r="J58" s="41" t="s">
        <v>22</v>
      </c>
      <c r="K58" s="71" t="s">
        <v>23</v>
      </c>
      <c r="L58" s="92">
        <v>6.6</v>
      </c>
      <c r="M58" s="52">
        <v>6.6</v>
      </c>
      <c r="N58" s="52">
        <v>0.6</v>
      </c>
      <c r="O58" s="98"/>
      <c r="P58" s="52"/>
      <c r="Q58" s="54"/>
      <c r="R58" s="98"/>
      <c r="S58" s="52"/>
      <c r="T58" s="54"/>
      <c r="U58" s="98"/>
      <c r="V58" s="52"/>
      <c r="W58" s="80"/>
      <c r="X58" s="39"/>
      <c r="Y58" s="129"/>
      <c r="Z58" s="129"/>
      <c r="AA58" s="129"/>
      <c r="AB58" s="129"/>
      <c r="AC58" s="129"/>
      <c r="AD58" s="129"/>
    </row>
    <row r="59" spans="1:30" s="124" customFormat="1" ht="236.25" customHeight="1">
      <c r="A59" s="38"/>
      <c r="B59" s="37"/>
      <c r="C59" s="81" t="s">
        <v>433</v>
      </c>
      <c r="D59" s="47" t="s">
        <v>434</v>
      </c>
      <c r="E59" s="47" t="s">
        <v>435</v>
      </c>
      <c r="F59" s="89" t="s">
        <v>436</v>
      </c>
      <c r="G59" s="84" t="s">
        <v>437</v>
      </c>
      <c r="H59" s="83" t="s">
        <v>438</v>
      </c>
      <c r="I59" s="84" t="s">
        <v>439</v>
      </c>
      <c r="J59" s="90" t="s">
        <v>214</v>
      </c>
      <c r="K59" s="90" t="s">
        <v>214</v>
      </c>
      <c r="L59" s="139">
        <v>102.2</v>
      </c>
      <c r="M59" s="54">
        <v>102.2</v>
      </c>
      <c r="N59" s="54">
        <v>106.1</v>
      </c>
      <c r="O59" s="97">
        <v>267</v>
      </c>
      <c r="P59" s="54">
        <v>267</v>
      </c>
      <c r="Q59" s="54" t="s">
        <v>417</v>
      </c>
      <c r="R59" s="97">
        <v>267</v>
      </c>
      <c r="S59" s="54">
        <v>267</v>
      </c>
      <c r="T59" s="54" t="s">
        <v>417</v>
      </c>
      <c r="U59" s="97">
        <v>267</v>
      </c>
      <c r="V59" s="54">
        <v>267</v>
      </c>
      <c r="W59" s="54" t="s">
        <v>417</v>
      </c>
      <c r="X59" s="39"/>
      <c r="Y59" s="129"/>
      <c r="Z59" s="129"/>
      <c r="AA59" s="129"/>
      <c r="AB59" s="129"/>
      <c r="AC59" s="129"/>
      <c r="AD59" s="129"/>
    </row>
    <row r="60" spans="1:30" s="124" customFormat="1" ht="219.75" customHeight="1">
      <c r="A60" s="38"/>
      <c r="B60" s="37"/>
      <c r="C60" s="56" t="s">
        <v>387</v>
      </c>
      <c r="D60" s="68"/>
      <c r="E60" s="68"/>
      <c r="F60" s="73"/>
      <c r="G60" s="56" t="s">
        <v>388</v>
      </c>
      <c r="H60" s="68" t="s">
        <v>381</v>
      </c>
      <c r="I60" s="70" t="s">
        <v>389</v>
      </c>
      <c r="J60" s="41" t="s">
        <v>22</v>
      </c>
      <c r="K60" s="71" t="s">
        <v>23</v>
      </c>
      <c r="L60" s="92">
        <v>201.6</v>
      </c>
      <c r="M60" s="52">
        <v>191.8</v>
      </c>
      <c r="N60" s="50">
        <v>135.7</v>
      </c>
      <c r="O60" s="98">
        <v>138.5</v>
      </c>
      <c r="P60" s="52">
        <v>138.5</v>
      </c>
      <c r="Q60" s="54"/>
      <c r="R60" s="98">
        <v>138.5</v>
      </c>
      <c r="S60" s="52">
        <v>138.5</v>
      </c>
      <c r="T60" s="54"/>
      <c r="U60" s="98">
        <v>138.5</v>
      </c>
      <c r="V60" s="52">
        <v>138.5</v>
      </c>
      <c r="W60" s="80"/>
      <c r="X60" s="39"/>
      <c r="Y60" s="129"/>
      <c r="Z60" s="129"/>
      <c r="AA60" s="129"/>
      <c r="AB60" s="129"/>
      <c r="AC60" s="129"/>
      <c r="AD60" s="129"/>
    </row>
    <row r="61" spans="1:30" s="124" customFormat="1" ht="125.25" customHeight="1">
      <c r="A61" s="38"/>
      <c r="B61" s="37"/>
      <c r="C61" s="56" t="s">
        <v>390</v>
      </c>
      <c r="D61" s="69" t="s">
        <v>391</v>
      </c>
      <c r="E61" s="68" t="s">
        <v>381</v>
      </c>
      <c r="F61" s="70" t="s">
        <v>392</v>
      </c>
      <c r="G61" s="69" t="s">
        <v>393</v>
      </c>
      <c r="H61" s="68" t="s">
        <v>381</v>
      </c>
      <c r="I61" s="70" t="s">
        <v>392</v>
      </c>
      <c r="J61" s="41" t="s">
        <v>22</v>
      </c>
      <c r="K61" s="71" t="s">
        <v>23</v>
      </c>
      <c r="L61" s="92">
        <v>3821.8</v>
      </c>
      <c r="M61" s="52">
        <v>3821.8</v>
      </c>
      <c r="N61" s="52">
        <v>3656.6</v>
      </c>
      <c r="O61" s="98">
        <v>3831.7</v>
      </c>
      <c r="P61" s="52">
        <v>3831.7</v>
      </c>
      <c r="Q61" s="54"/>
      <c r="R61" s="98">
        <v>3831.7</v>
      </c>
      <c r="S61" s="52">
        <v>3831.7</v>
      </c>
      <c r="T61" s="54"/>
      <c r="U61" s="98">
        <v>3831.7</v>
      </c>
      <c r="V61" s="52">
        <v>3831.7</v>
      </c>
      <c r="W61" s="80"/>
      <c r="X61" s="39"/>
      <c r="Y61" s="129"/>
      <c r="Z61" s="129"/>
      <c r="AA61" s="129"/>
      <c r="AB61" s="129"/>
      <c r="AC61" s="129"/>
      <c r="AD61" s="129"/>
    </row>
    <row r="62" spans="1:30" s="124" customFormat="1" ht="409.5" customHeight="1">
      <c r="A62" s="38"/>
      <c r="B62" s="37"/>
      <c r="C62" s="104" t="s">
        <v>255</v>
      </c>
      <c r="D62" s="102" t="s">
        <v>256</v>
      </c>
      <c r="E62" s="102"/>
      <c r="F62" s="102" t="s">
        <v>257</v>
      </c>
      <c r="G62" s="102" t="s">
        <v>440</v>
      </c>
      <c r="H62" s="102"/>
      <c r="I62" s="102" t="s">
        <v>258</v>
      </c>
      <c r="J62" s="130" t="s">
        <v>24</v>
      </c>
      <c r="K62" s="130" t="s">
        <v>22</v>
      </c>
      <c r="L62" s="51">
        <f>74.4+70.6</f>
        <v>145</v>
      </c>
      <c r="M62" s="51">
        <f>74.4+70.6</f>
        <v>145</v>
      </c>
      <c r="N62" s="51">
        <v>125.7</v>
      </c>
      <c r="O62" s="143">
        <f>P62+Q62</f>
        <v>0</v>
      </c>
      <c r="P62" s="51"/>
      <c r="Q62" s="51"/>
      <c r="R62" s="143">
        <f>S62+T62</f>
        <v>110.6</v>
      </c>
      <c r="S62" s="51">
        <v>110.6</v>
      </c>
      <c r="T62" s="51"/>
      <c r="U62" s="143">
        <f>V62+W62</f>
        <v>0</v>
      </c>
      <c r="V62" s="51"/>
      <c r="W62" s="51"/>
      <c r="X62" s="39"/>
      <c r="Y62" s="129"/>
      <c r="Z62" s="129"/>
      <c r="AA62" s="129"/>
      <c r="AB62" s="129"/>
      <c r="AC62" s="129"/>
      <c r="AD62" s="129"/>
    </row>
    <row r="63" spans="1:30" s="124" customFormat="1" ht="144.75" customHeight="1">
      <c r="A63" s="38"/>
      <c r="B63" s="37"/>
      <c r="C63" s="56" t="s">
        <v>394</v>
      </c>
      <c r="D63" s="68"/>
      <c r="E63" s="68"/>
      <c r="F63" s="68"/>
      <c r="G63" s="72" t="s">
        <v>395</v>
      </c>
      <c r="H63" s="70" t="s">
        <v>381</v>
      </c>
      <c r="I63" s="70" t="s">
        <v>392</v>
      </c>
      <c r="J63" s="41" t="s">
        <v>22</v>
      </c>
      <c r="K63" s="71" t="s">
        <v>23</v>
      </c>
      <c r="L63" s="92">
        <v>4711.9</v>
      </c>
      <c r="M63" s="52">
        <v>4711.9</v>
      </c>
      <c r="N63" s="50">
        <v>6525.6</v>
      </c>
      <c r="O63" s="98">
        <v>6568.6</v>
      </c>
      <c r="P63" s="52">
        <v>6568.6</v>
      </c>
      <c r="Q63" s="54"/>
      <c r="R63" s="98">
        <v>6571.7</v>
      </c>
      <c r="S63" s="52">
        <v>6571.7</v>
      </c>
      <c r="T63" s="54"/>
      <c r="U63" s="98">
        <v>6535</v>
      </c>
      <c r="V63" s="52">
        <v>6535</v>
      </c>
      <c r="W63" s="80"/>
      <c r="X63" s="39"/>
      <c r="Y63" s="129"/>
      <c r="Z63" s="129"/>
      <c r="AA63" s="129"/>
      <c r="AB63" s="129"/>
      <c r="AC63" s="129"/>
      <c r="AD63" s="129"/>
    </row>
    <row r="64" spans="1:30" s="124" customFormat="1" ht="352.5" customHeight="1">
      <c r="A64" s="38"/>
      <c r="B64" s="37"/>
      <c r="C64" s="104" t="s">
        <v>248</v>
      </c>
      <c r="D64" s="102" t="s">
        <v>176</v>
      </c>
      <c r="E64" s="102" t="s">
        <v>168</v>
      </c>
      <c r="F64" s="102" t="s">
        <v>177</v>
      </c>
      <c r="G64" s="102" t="s">
        <v>178</v>
      </c>
      <c r="H64" s="115" t="s">
        <v>168</v>
      </c>
      <c r="I64" s="102" t="s">
        <v>179</v>
      </c>
      <c r="J64" s="132" t="s">
        <v>24</v>
      </c>
      <c r="K64" s="132" t="s">
        <v>22</v>
      </c>
      <c r="L64" s="51">
        <f>2037.7+805.1+1</f>
        <v>2843.8</v>
      </c>
      <c r="M64" s="51">
        <f>2037.7+805.1+1-58.8</f>
        <v>2785</v>
      </c>
      <c r="N64" s="51">
        <f>3056.5-175.9</f>
        <v>2880.6</v>
      </c>
      <c r="O64" s="133">
        <f>P64+Q64</f>
        <v>4135.3</v>
      </c>
      <c r="P64" s="51">
        <v>4135.3</v>
      </c>
      <c r="Q64" s="51"/>
      <c r="R64" s="133">
        <f>S64+T64</f>
        <v>4135.3</v>
      </c>
      <c r="S64" s="51">
        <v>4135.3</v>
      </c>
      <c r="T64" s="51"/>
      <c r="U64" s="133">
        <f>V64+W64</f>
        <v>4135.3</v>
      </c>
      <c r="V64" s="51">
        <v>4135.3</v>
      </c>
      <c r="W64" s="51"/>
      <c r="X64" s="39"/>
      <c r="Y64" s="129"/>
      <c r="Z64" s="129"/>
      <c r="AA64" s="129"/>
      <c r="AB64" s="129"/>
      <c r="AC64" s="129"/>
      <c r="AD64" s="129"/>
    </row>
    <row r="65" spans="1:30" s="124" customFormat="1" ht="123.75" customHeight="1">
      <c r="A65" s="38"/>
      <c r="B65" s="37"/>
      <c r="C65" s="56" t="s">
        <v>396</v>
      </c>
      <c r="D65" s="68"/>
      <c r="E65" s="68"/>
      <c r="F65" s="68"/>
      <c r="G65" s="69" t="s">
        <v>397</v>
      </c>
      <c r="H65" s="70" t="s">
        <v>381</v>
      </c>
      <c r="I65" s="70" t="s">
        <v>386</v>
      </c>
      <c r="J65" s="41"/>
      <c r="K65" s="71"/>
      <c r="L65" s="92"/>
      <c r="M65" s="52"/>
      <c r="N65" s="50"/>
      <c r="O65" s="98">
        <v>4204.4</v>
      </c>
      <c r="P65" s="52">
        <v>4204.4</v>
      </c>
      <c r="Q65" s="54"/>
      <c r="R65" s="98">
        <v>4495.9</v>
      </c>
      <c r="S65" s="52">
        <v>4495.9</v>
      </c>
      <c r="T65" s="54"/>
      <c r="U65" s="98">
        <v>4506.7</v>
      </c>
      <c r="V65" s="52">
        <v>4506.7</v>
      </c>
      <c r="W65" s="80"/>
      <c r="X65" s="39"/>
      <c r="Y65" s="129"/>
      <c r="Z65" s="129"/>
      <c r="AA65" s="129"/>
      <c r="AB65" s="129"/>
      <c r="AC65" s="129"/>
      <c r="AD65" s="129"/>
    </row>
    <row r="66" spans="1:30" s="124" customFormat="1" ht="199.5" customHeight="1">
      <c r="A66" s="38"/>
      <c r="B66" s="37"/>
      <c r="C66" s="56" t="s">
        <v>398</v>
      </c>
      <c r="D66" s="68"/>
      <c r="E66" s="68"/>
      <c r="F66" s="68"/>
      <c r="G66" s="69" t="s">
        <v>399</v>
      </c>
      <c r="H66" s="70" t="s">
        <v>381</v>
      </c>
      <c r="I66" s="70" t="s">
        <v>392</v>
      </c>
      <c r="J66" s="71" t="s">
        <v>22</v>
      </c>
      <c r="K66" s="71" t="s">
        <v>23</v>
      </c>
      <c r="L66" s="93">
        <v>340.4</v>
      </c>
      <c r="M66" s="52">
        <v>340.4</v>
      </c>
      <c r="N66" s="52"/>
      <c r="O66" s="99"/>
      <c r="P66" s="52"/>
      <c r="Q66" s="54"/>
      <c r="R66" s="98"/>
      <c r="S66" s="52"/>
      <c r="T66" s="54"/>
      <c r="U66" s="98"/>
      <c r="V66" s="52"/>
      <c r="W66" s="80"/>
      <c r="X66" s="39"/>
      <c r="Y66" s="129"/>
      <c r="Z66" s="129"/>
      <c r="AA66" s="129"/>
      <c r="AB66" s="129"/>
      <c r="AC66" s="129"/>
      <c r="AD66" s="129"/>
    </row>
    <row r="67" spans="1:30" s="124" customFormat="1" ht="186" customHeight="1">
      <c r="A67" s="38"/>
      <c r="B67" s="37"/>
      <c r="C67" s="56" t="s">
        <v>400</v>
      </c>
      <c r="D67" s="68"/>
      <c r="E67" s="68"/>
      <c r="F67" s="68"/>
      <c r="G67" s="69" t="s">
        <v>393</v>
      </c>
      <c r="H67" s="68" t="s">
        <v>381</v>
      </c>
      <c r="I67" s="70" t="s">
        <v>392</v>
      </c>
      <c r="J67" s="41" t="s">
        <v>22</v>
      </c>
      <c r="K67" s="71" t="s">
        <v>23</v>
      </c>
      <c r="L67" s="92">
        <v>8205.9</v>
      </c>
      <c r="M67" s="52">
        <v>8205.9</v>
      </c>
      <c r="N67" s="52">
        <v>9716.2</v>
      </c>
      <c r="O67" s="100">
        <v>8842.3</v>
      </c>
      <c r="P67" s="50">
        <v>8842.3</v>
      </c>
      <c r="Q67" s="55"/>
      <c r="R67" s="100">
        <v>8842.3</v>
      </c>
      <c r="S67" s="50">
        <v>8842.3</v>
      </c>
      <c r="T67" s="55"/>
      <c r="U67" s="100">
        <v>8842.3</v>
      </c>
      <c r="V67" s="50">
        <v>8842.3</v>
      </c>
      <c r="W67" s="80"/>
      <c r="X67" s="39"/>
      <c r="Y67" s="129"/>
      <c r="Z67" s="129"/>
      <c r="AA67" s="129"/>
      <c r="AB67" s="129"/>
      <c r="AC67" s="129"/>
      <c r="AD67" s="129"/>
    </row>
    <row r="68" spans="1:30" s="124" customFormat="1" ht="225" customHeight="1">
      <c r="A68" s="38"/>
      <c r="B68" s="37"/>
      <c r="C68" s="56" t="s">
        <v>401</v>
      </c>
      <c r="D68" s="69" t="s">
        <v>402</v>
      </c>
      <c r="E68" s="70" t="s">
        <v>381</v>
      </c>
      <c r="F68" s="70" t="s">
        <v>392</v>
      </c>
      <c r="G68" s="69" t="s">
        <v>380</v>
      </c>
      <c r="H68" s="70"/>
      <c r="I68" s="70" t="s">
        <v>386</v>
      </c>
      <c r="J68" s="41" t="s">
        <v>22</v>
      </c>
      <c r="K68" s="71" t="s">
        <v>23</v>
      </c>
      <c r="L68" s="92">
        <v>8.1</v>
      </c>
      <c r="M68" s="52">
        <v>8.1</v>
      </c>
      <c r="N68" s="52">
        <v>0.7</v>
      </c>
      <c r="O68" s="98">
        <v>0</v>
      </c>
      <c r="P68" s="52">
        <v>0</v>
      </c>
      <c r="Q68" s="54"/>
      <c r="R68" s="98">
        <v>0</v>
      </c>
      <c r="S68" s="52">
        <v>0</v>
      </c>
      <c r="T68" s="54"/>
      <c r="U68" s="98">
        <v>0</v>
      </c>
      <c r="V68" s="52">
        <v>0</v>
      </c>
      <c r="W68" s="80"/>
      <c r="X68" s="39"/>
      <c r="Y68" s="129"/>
      <c r="Z68" s="129"/>
      <c r="AA68" s="129"/>
      <c r="AB68" s="129"/>
      <c r="AC68" s="129"/>
      <c r="AD68" s="129"/>
    </row>
    <row r="69" spans="1:30" s="124" customFormat="1" ht="192.75" customHeight="1">
      <c r="A69" s="38"/>
      <c r="B69" s="37"/>
      <c r="C69" s="56" t="s">
        <v>403</v>
      </c>
      <c r="D69" s="69" t="s">
        <v>402</v>
      </c>
      <c r="E69" s="70" t="s">
        <v>381</v>
      </c>
      <c r="F69" s="70" t="s">
        <v>392</v>
      </c>
      <c r="G69" s="69" t="s">
        <v>399</v>
      </c>
      <c r="H69" s="70" t="s">
        <v>381</v>
      </c>
      <c r="I69" s="70" t="s">
        <v>392</v>
      </c>
      <c r="J69" s="41" t="s">
        <v>22</v>
      </c>
      <c r="K69" s="71" t="s">
        <v>23</v>
      </c>
      <c r="L69" s="94">
        <v>514.2</v>
      </c>
      <c r="M69" s="52">
        <v>514.2</v>
      </c>
      <c r="N69" s="52"/>
      <c r="O69" s="98"/>
      <c r="P69" s="52"/>
      <c r="Q69" s="54"/>
      <c r="R69" s="98"/>
      <c r="S69" s="52"/>
      <c r="T69" s="54"/>
      <c r="U69" s="98"/>
      <c r="V69" s="52"/>
      <c r="W69" s="80"/>
      <c r="X69" s="39"/>
      <c r="Y69" s="129"/>
      <c r="Z69" s="129"/>
      <c r="AA69" s="129"/>
      <c r="AB69" s="129"/>
      <c r="AC69" s="129"/>
      <c r="AD69" s="129"/>
    </row>
    <row r="70" spans="1:30" s="124" customFormat="1" ht="219.75" customHeight="1">
      <c r="A70" s="38"/>
      <c r="B70" s="37"/>
      <c r="C70" s="56" t="s">
        <v>404</v>
      </c>
      <c r="D70" s="69" t="s">
        <v>405</v>
      </c>
      <c r="E70" s="70" t="s">
        <v>406</v>
      </c>
      <c r="F70" s="70" t="s">
        <v>392</v>
      </c>
      <c r="G70" s="69" t="s">
        <v>380</v>
      </c>
      <c r="H70" s="70" t="s">
        <v>381</v>
      </c>
      <c r="I70" s="70" t="s">
        <v>386</v>
      </c>
      <c r="J70" s="41" t="s">
        <v>22</v>
      </c>
      <c r="K70" s="71" t="s">
        <v>23</v>
      </c>
      <c r="L70" s="92">
        <v>1336.9</v>
      </c>
      <c r="M70" s="52">
        <v>1336.9</v>
      </c>
      <c r="N70" s="52">
        <v>3230.6</v>
      </c>
      <c r="O70" s="98">
        <v>1790.4</v>
      </c>
      <c r="P70" s="50">
        <v>1790.4</v>
      </c>
      <c r="Q70" s="54"/>
      <c r="R70" s="98">
        <v>1641.2</v>
      </c>
      <c r="S70" s="52">
        <v>1641.2</v>
      </c>
      <c r="T70" s="54"/>
      <c r="U70" s="98">
        <v>1641.2</v>
      </c>
      <c r="V70" s="52">
        <v>1641.2</v>
      </c>
      <c r="W70" s="80"/>
      <c r="X70" s="39"/>
      <c r="Y70" s="129"/>
      <c r="Z70" s="129"/>
      <c r="AA70" s="129"/>
      <c r="AB70" s="129"/>
      <c r="AC70" s="129"/>
      <c r="AD70" s="129"/>
    </row>
    <row r="71" spans="1:30" s="124" customFormat="1" ht="220.5" customHeight="1">
      <c r="A71" s="38"/>
      <c r="B71" s="37"/>
      <c r="C71" s="56" t="s">
        <v>407</v>
      </c>
      <c r="D71" s="69" t="s">
        <v>408</v>
      </c>
      <c r="E71" s="70" t="s">
        <v>381</v>
      </c>
      <c r="F71" s="70" t="s">
        <v>392</v>
      </c>
      <c r="G71" s="69" t="s">
        <v>380</v>
      </c>
      <c r="H71" s="70" t="s">
        <v>381</v>
      </c>
      <c r="I71" s="70" t="s">
        <v>386</v>
      </c>
      <c r="J71" s="41" t="s">
        <v>22</v>
      </c>
      <c r="K71" s="71" t="s">
        <v>23</v>
      </c>
      <c r="L71" s="92"/>
      <c r="M71" s="52"/>
      <c r="N71" s="52"/>
      <c r="O71" s="98"/>
      <c r="P71" s="52"/>
      <c r="Q71" s="54"/>
      <c r="R71" s="98"/>
      <c r="S71" s="52"/>
      <c r="T71" s="54"/>
      <c r="U71" s="98"/>
      <c r="V71" s="52"/>
      <c r="W71" s="80"/>
      <c r="X71" s="39"/>
      <c r="Y71" s="129"/>
      <c r="Z71" s="129"/>
      <c r="AA71" s="129"/>
      <c r="AB71" s="129"/>
      <c r="AC71" s="129"/>
      <c r="AD71" s="129"/>
    </row>
    <row r="72" spans="1:30" s="124" customFormat="1" ht="154.5" customHeight="1">
      <c r="A72" s="38"/>
      <c r="B72" s="37"/>
      <c r="C72" s="104" t="s">
        <v>273</v>
      </c>
      <c r="D72" s="102" t="s">
        <v>274</v>
      </c>
      <c r="E72" s="102" t="s">
        <v>275</v>
      </c>
      <c r="F72" s="102" t="s">
        <v>276</v>
      </c>
      <c r="G72" s="110" t="s">
        <v>204</v>
      </c>
      <c r="H72" s="111" t="s">
        <v>205</v>
      </c>
      <c r="I72" s="116">
        <v>39749</v>
      </c>
      <c r="J72" s="132" t="s">
        <v>24</v>
      </c>
      <c r="K72" s="132" t="s">
        <v>25</v>
      </c>
      <c r="L72" s="51">
        <v>841.9</v>
      </c>
      <c r="M72" s="51">
        <v>841.9</v>
      </c>
      <c r="N72" s="51">
        <v>0</v>
      </c>
      <c r="O72" s="133"/>
      <c r="P72" s="51"/>
      <c r="Q72" s="51"/>
      <c r="R72" s="133"/>
      <c r="S72" s="51"/>
      <c r="T72" s="51"/>
      <c r="U72" s="142">
        <f>V72+W72</f>
        <v>1046.2</v>
      </c>
      <c r="V72" s="51">
        <v>1046.2</v>
      </c>
      <c r="W72" s="51"/>
      <c r="X72" s="39"/>
      <c r="Y72" s="129"/>
      <c r="Z72" s="129"/>
      <c r="AA72" s="129"/>
      <c r="AB72" s="129"/>
      <c r="AC72" s="129"/>
      <c r="AD72" s="129"/>
    </row>
    <row r="73" spans="1:30" s="124" customFormat="1" ht="158.25" customHeight="1">
      <c r="A73" s="38"/>
      <c r="B73" s="37"/>
      <c r="C73" s="104" t="s">
        <v>249</v>
      </c>
      <c r="D73" s="102" t="s">
        <v>173</v>
      </c>
      <c r="E73" s="102" t="s">
        <v>174</v>
      </c>
      <c r="F73" s="102" t="s">
        <v>175</v>
      </c>
      <c r="G73" s="110" t="s">
        <v>204</v>
      </c>
      <c r="H73" s="111" t="s">
        <v>205</v>
      </c>
      <c r="I73" s="116">
        <v>39749</v>
      </c>
      <c r="J73" s="132" t="s">
        <v>24</v>
      </c>
      <c r="K73" s="132" t="s">
        <v>25</v>
      </c>
      <c r="L73" s="51">
        <v>3559.7</v>
      </c>
      <c r="M73" s="51">
        <v>3559.7</v>
      </c>
      <c r="N73" s="51"/>
      <c r="O73" s="142"/>
      <c r="P73" s="51"/>
      <c r="Q73" s="51"/>
      <c r="R73" s="142"/>
      <c r="S73" s="51"/>
      <c r="T73" s="51"/>
      <c r="U73" s="142">
        <f>V73+W73</f>
        <v>1046.1</v>
      </c>
      <c r="V73" s="51">
        <v>1046.1</v>
      </c>
      <c r="W73" s="51"/>
      <c r="X73" s="39"/>
      <c r="Y73" s="129"/>
      <c r="Z73" s="129"/>
      <c r="AA73" s="129"/>
      <c r="AB73" s="129"/>
      <c r="AC73" s="129"/>
      <c r="AD73" s="129"/>
    </row>
    <row r="74" spans="1:30" s="124" customFormat="1" ht="271.5" customHeight="1">
      <c r="A74" s="38"/>
      <c r="B74" s="37"/>
      <c r="C74" s="104" t="s">
        <v>250</v>
      </c>
      <c r="D74" s="102" t="s">
        <v>45</v>
      </c>
      <c r="E74" s="102" t="s">
        <v>47</v>
      </c>
      <c r="F74" s="102" t="s">
        <v>206</v>
      </c>
      <c r="G74" s="114" t="s">
        <v>46</v>
      </c>
      <c r="H74" s="113" t="s">
        <v>48</v>
      </c>
      <c r="I74" s="114" t="s">
        <v>49</v>
      </c>
      <c r="J74" s="132" t="s">
        <v>21</v>
      </c>
      <c r="K74" s="132" t="s">
        <v>23</v>
      </c>
      <c r="L74" s="51">
        <f>49.8+0.2</f>
        <v>50</v>
      </c>
      <c r="M74" s="51">
        <f>49.8+0.2</f>
        <v>50</v>
      </c>
      <c r="N74" s="51">
        <v>7.8</v>
      </c>
      <c r="O74" s="142">
        <f>P74+Q74</f>
        <v>13.7</v>
      </c>
      <c r="P74" s="51">
        <v>13.7</v>
      </c>
      <c r="Q74" s="51"/>
      <c r="R74" s="142">
        <f>S74+T74</f>
        <v>14.7</v>
      </c>
      <c r="S74" s="51">
        <v>14.7</v>
      </c>
      <c r="T74" s="51"/>
      <c r="U74" s="142">
        <f>V74+W74</f>
        <v>60.1</v>
      </c>
      <c r="V74" s="51">
        <v>60.1</v>
      </c>
      <c r="W74" s="51"/>
      <c r="X74" s="39"/>
      <c r="Y74" s="129"/>
      <c r="Z74" s="129"/>
      <c r="AA74" s="129"/>
      <c r="AB74" s="129"/>
      <c r="AC74" s="129"/>
      <c r="AD74" s="129"/>
    </row>
    <row r="75" spans="1:30" s="124" customFormat="1" ht="141.75" customHeight="1">
      <c r="A75" s="38"/>
      <c r="B75" s="37"/>
      <c r="C75" s="56" t="s">
        <v>409</v>
      </c>
      <c r="D75" s="74" t="s">
        <v>410</v>
      </c>
      <c r="E75" s="75" t="s">
        <v>381</v>
      </c>
      <c r="F75" s="76" t="s">
        <v>392</v>
      </c>
      <c r="G75" s="77" t="s">
        <v>395</v>
      </c>
      <c r="H75" s="75" t="s">
        <v>381</v>
      </c>
      <c r="I75" s="76" t="s">
        <v>386</v>
      </c>
      <c r="J75" s="41" t="s">
        <v>22</v>
      </c>
      <c r="K75" s="71" t="s">
        <v>23</v>
      </c>
      <c r="L75" s="92">
        <v>7490</v>
      </c>
      <c r="M75" s="52">
        <v>7490</v>
      </c>
      <c r="N75" s="52">
        <v>7255.2</v>
      </c>
      <c r="O75" s="98">
        <v>5980.6</v>
      </c>
      <c r="P75" s="52">
        <v>5980.6</v>
      </c>
      <c r="Q75" s="54"/>
      <c r="R75" s="98">
        <v>6045.3</v>
      </c>
      <c r="S75" s="52">
        <v>6045.3</v>
      </c>
      <c r="T75" s="54"/>
      <c r="U75" s="98">
        <v>6060.3</v>
      </c>
      <c r="V75" s="52">
        <v>6060.3</v>
      </c>
      <c r="W75" s="80"/>
      <c r="X75" s="39"/>
      <c r="Y75" s="129"/>
      <c r="Z75" s="129"/>
      <c r="AA75" s="129"/>
      <c r="AB75" s="129"/>
      <c r="AC75" s="129"/>
      <c r="AD75" s="129"/>
    </row>
    <row r="76" spans="1:30" s="124" customFormat="1" ht="261" customHeight="1">
      <c r="A76" s="38"/>
      <c r="B76" s="37"/>
      <c r="C76" s="104" t="s">
        <v>262</v>
      </c>
      <c r="D76" s="102"/>
      <c r="E76" s="102"/>
      <c r="F76" s="102"/>
      <c r="G76" s="114" t="s">
        <v>263</v>
      </c>
      <c r="H76" s="113" t="s">
        <v>168</v>
      </c>
      <c r="I76" s="117">
        <v>42831</v>
      </c>
      <c r="J76" s="132" t="s">
        <v>21</v>
      </c>
      <c r="K76" s="132" t="s">
        <v>22</v>
      </c>
      <c r="L76" s="51">
        <v>381.8</v>
      </c>
      <c r="M76" s="51">
        <v>381.8</v>
      </c>
      <c r="N76" s="51">
        <f>383.5+3.5</f>
        <v>387</v>
      </c>
      <c r="O76" s="142">
        <f>P76+Q76</f>
        <v>397.9</v>
      </c>
      <c r="P76" s="51">
        <v>397.9</v>
      </c>
      <c r="Q76" s="51"/>
      <c r="R76" s="142">
        <f>S76+T76</f>
        <v>397.9</v>
      </c>
      <c r="S76" s="51">
        <v>397.9</v>
      </c>
      <c r="T76" s="51"/>
      <c r="U76" s="142">
        <f>V76+W76</f>
        <v>397.9</v>
      </c>
      <c r="V76" s="51">
        <v>397.9</v>
      </c>
      <c r="W76" s="51"/>
      <c r="X76" s="39"/>
      <c r="Y76" s="129"/>
      <c r="Z76" s="129"/>
      <c r="AA76" s="129"/>
      <c r="AB76" s="129"/>
      <c r="AC76" s="129"/>
      <c r="AD76" s="129"/>
    </row>
    <row r="77" spans="1:30" s="124" customFormat="1" ht="201.75" customHeight="1">
      <c r="A77" s="38"/>
      <c r="B77" s="37"/>
      <c r="C77" s="104" t="s">
        <v>316</v>
      </c>
      <c r="D77" s="102" t="s">
        <v>45</v>
      </c>
      <c r="E77" s="102" t="s">
        <v>168</v>
      </c>
      <c r="F77" s="102" t="s">
        <v>206</v>
      </c>
      <c r="G77" s="114" t="s">
        <v>317</v>
      </c>
      <c r="H77" s="113" t="s">
        <v>168</v>
      </c>
      <c r="I77" s="117" t="s">
        <v>318</v>
      </c>
      <c r="J77" s="132" t="s">
        <v>23</v>
      </c>
      <c r="K77" s="132" t="s">
        <v>23</v>
      </c>
      <c r="L77" s="51"/>
      <c r="M77" s="51"/>
      <c r="N77" s="51">
        <v>1.3</v>
      </c>
      <c r="O77" s="142">
        <f>P77+Q77</f>
        <v>2.5</v>
      </c>
      <c r="P77" s="51">
        <v>2.5</v>
      </c>
      <c r="Q77" s="51"/>
      <c r="R77" s="142">
        <f>S77+T77</f>
        <v>2.5</v>
      </c>
      <c r="S77" s="51">
        <v>2.5</v>
      </c>
      <c r="T77" s="51"/>
      <c r="U77" s="142">
        <f>V77+W77</f>
        <v>2.5</v>
      </c>
      <c r="V77" s="51">
        <v>2.5</v>
      </c>
      <c r="W77" s="51"/>
      <c r="X77" s="39"/>
      <c r="Y77" s="129"/>
      <c r="Z77" s="129"/>
      <c r="AA77" s="129"/>
      <c r="AB77" s="129"/>
      <c r="AC77" s="129"/>
      <c r="AD77" s="129"/>
    </row>
    <row r="78" spans="1:30" s="124" customFormat="1" ht="192.75" customHeight="1">
      <c r="A78" s="38"/>
      <c r="B78" s="37"/>
      <c r="C78" s="118" t="s">
        <v>325</v>
      </c>
      <c r="D78" s="102" t="s">
        <v>326</v>
      </c>
      <c r="E78" s="102" t="s">
        <v>322</v>
      </c>
      <c r="F78" s="102" t="s">
        <v>327</v>
      </c>
      <c r="G78" s="114" t="s">
        <v>328</v>
      </c>
      <c r="H78" s="113" t="s">
        <v>168</v>
      </c>
      <c r="I78" s="117" t="s">
        <v>329</v>
      </c>
      <c r="J78" s="132" t="s">
        <v>23</v>
      </c>
      <c r="K78" s="132" t="s">
        <v>21</v>
      </c>
      <c r="L78" s="51"/>
      <c r="M78" s="51"/>
      <c r="N78" s="51"/>
      <c r="O78" s="142">
        <f>P78+Q78</f>
        <v>0</v>
      </c>
      <c r="P78" s="51"/>
      <c r="Q78" s="51"/>
      <c r="R78" s="131">
        <f>S78+T78</f>
        <v>1387.5</v>
      </c>
      <c r="S78" s="139">
        <v>1387.5</v>
      </c>
      <c r="T78" s="51"/>
      <c r="U78" s="142">
        <f>V78+W78</f>
        <v>0</v>
      </c>
      <c r="V78" s="51"/>
      <c r="W78" s="51"/>
      <c r="X78" s="39"/>
      <c r="Y78" s="129"/>
      <c r="Z78" s="129"/>
      <c r="AA78" s="129"/>
      <c r="AB78" s="129"/>
      <c r="AC78" s="129"/>
      <c r="AD78" s="129"/>
    </row>
    <row r="79" spans="1:30" s="124" customFormat="1" ht="57.75" customHeight="1">
      <c r="A79" s="38"/>
      <c r="B79" s="37"/>
      <c r="C79" s="56" t="s">
        <v>411</v>
      </c>
      <c r="D79" s="59" t="s">
        <v>19</v>
      </c>
      <c r="E79" s="58" t="s">
        <v>19</v>
      </c>
      <c r="F79" s="58" t="s">
        <v>19</v>
      </c>
      <c r="G79" s="78"/>
      <c r="H79" s="79" t="s">
        <v>19</v>
      </c>
      <c r="I79" s="58" t="s">
        <v>19</v>
      </c>
      <c r="J79" s="80" t="s">
        <v>19</v>
      </c>
      <c r="K79" s="80" t="s">
        <v>19</v>
      </c>
      <c r="L79" s="52"/>
      <c r="M79" s="52"/>
      <c r="N79" s="54"/>
      <c r="O79" s="97"/>
      <c r="P79" s="54"/>
      <c r="Q79" s="54"/>
      <c r="R79" s="97"/>
      <c r="S79" s="54"/>
      <c r="T79" s="54"/>
      <c r="U79" s="97"/>
      <c r="V79" s="54"/>
      <c r="W79" s="59"/>
      <c r="X79" s="39"/>
      <c r="Y79" s="129"/>
      <c r="Z79" s="129"/>
      <c r="AA79" s="129"/>
      <c r="AB79" s="129"/>
      <c r="AC79" s="129"/>
      <c r="AD79" s="129"/>
    </row>
    <row r="80" spans="1:30" s="124" customFormat="1" ht="16.5" customHeight="1">
      <c r="A80" s="38"/>
      <c r="B80" s="37"/>
      <c r="C80" s="67" t="s">
        <v>228</v>
      </c>
      <c r="D80" s="58"/>
      <c r="E80" s="58"/>
      <c r="F80" s="58"/>
      <c r="G80" s="58"/>
      <c r="H80" s="79"/>
      <c r="I80" s="58"/>
      <c r="J80" s="80"/>
      <c r="K80" s="80"/>
      <c r="L80" s="52"/>
      <c r="M80" s="52"/>
      <c r="N80" s="54"/>
      <c r="O80" s="97"/>
      <c r="P80" s="54"/>
      <c r="Q80" s="54"/>
      <c r="R80" s="97"/>
      <c r="S80" s="54"/>
      <c r="T80" s="54"/>
      <c r="U80" s="97"/>
      <c r="V80" s="54"/>
      <c r="W80" s="59"/>
      <c r="X80" s="39"/>
      <c r="Y80" s="129"/>
      <c r="Z80" s="129"/>
      <c r="AA80" s="129"/>
      <c r="AB80" s="129"/>
      <c r="AC80" s="129"/>
      <c r="AD80" s="129"/>
    </row>
    <row r="81" spans="1:30" s="124" customFormat="1" ht="17.25" customHeight="1">
      <c r="A81" s="38"/>
      <c r="B81" s="37"/>
      <c r="C81" s="56" t="s">
        <v>7</v>
      </c>
      <c r="D81" s="68"/>
      <c r="E81" s="68"/>
      <c r="F81" s="68"/>
      <c r="G81" s="68"/>
      <c r="H81" s="68"/>
      <c r="I81" s="68"/>
      <c r="J81" s="41"/>
      <c r="K81" s="71"/>
      <c r="L81" s="52"/>
      <c r="M81" s="52"/>
      <c r="N81" s="54"/>
      <c r="O81" s="97"/>
      <c r="P81" s="54"/>
      <c r="Q81" s="54"/>
      <c r="R81" s="97"/>
      <c r="S81" s="54"/>
      <c r="T81" s="54"/>
      <c r="U81" s="97"/>
      <c r="V81" s="54"/>
      <c r="W81" s="80"/>
      <c r="X81" s="39"/>
      <c r="Y81" s="129"/>
      <c r="Z81" s="129"/>
      <c r="AA81" s="129"/>
      <c r="AB81" s="129"/>
      <c r="AC81" s="129"/>
      <c r="AD81" s="129"/>
    </row>
    <row r="82" spans="1:30" s="124" customFormat="1" ht="152.25" customHeight="1">
      <c r="A82" s="38"/>
      <c r="B82" s="63"/>
      <c r="C82" s="119" t="s">
        <v>285</v>
      </c>
      <c r="D82" s="103" t="s">
        <v>19</v>
      </c>
      <c r="E82" s="103" t="s">
        <v>19</v>
      </c>
      <c r="F82" s="103" t="s">
        <v>19</v>
      </c>
      <c r="G82" s="103" t="s">
        <v>19</v>
      </c>
      <c r="H82" s="103" t="s">
        <v>19</v>
      </c>
      <c r="I82" s="103" t="s">
        <v>19</v>
      </c>
      <c r="J82" s="130" t="s">
        <v>19</v>
      </c>
      <c r="K82" s="130" t="s">
        <v>19</v>
      </c>
      <c r="L82" s="142">
        <f>L83+L84+L85+L88</f>
        <v>57769</v>
      </c>
      <c r="M82" s="142">
        <f aca="true" t="shared" si="7" ref="M82:W82">M83+M84+M85+M88</f>
        <v>57766.5</v>
      </c>
      <c r="N82" s="142">
        <f t="shared" si="7"/>
        <v>57598.5</v>
      </c>
      <c r="O82" s="142">
        <f t="shared" si="7"/>
        <v>58054.399999999994</v>
      </c>
      <c r="P82" s="142">
        <f t="shared" si="7"/>
        <v>58054.399999999994</v>
      </c>
      <c r="Q82" s="142">
        <f t="shared" si="7"/>
        <v>0</v>
      </c>
      <c r="R82" s="142">
        <f t="shared" si="7"/>
        <v>53462.2</v>
      </c>
      <c r="S82" s="142">
        <f t="shared" si="7"/>
        <v>53462.2</v>
      </c>
      <c r="T82" s="142">
        <f t="shared" si="7"/>
        <v>0</v>
      </c>
      <c r="U82" s="142">
        <f t="shared" si="7"/>
        <v>54410.8</v>
      </c>
      <c r="V82" s="142">
        <f t="shared" si="7"/>
        <v>54410.8</v>
      </c>
      <c r="W82" s="51">
        <f t="shared" si="7"/>
        <v>0</v>
      </c>
      <c r="X82" s="38"/>
      <c r="Y82" s="129"/>
      <c r="Z82" s="129"/>
      <c r="AA82" s="129"/>
      <c r="AB82" s="129"/>
      <c r="AC82" s="129"/>
      <c r="AD82" s="129"/>
    </row>
    <row r="83" spans="1:30" s="124" customFormat="1" ht="72" customHeight="1">
      <c r="A83" s="38"/>
      <c r="B83" s="63"/>
      <c r="C83" s="56" t="s">
        <v>286</v>
      </c>
      <c r="D83" s="47" t="s">
        <v>45</v>
      </c>
      <c r="E83" s="47" t="s">
        <v>345</v>
      </c>
      <c r="F83" s="47" t="s">
        <v>206</v>
      </c>
      <c r="G83" s="48" t="s">
        <v>346</v>
      </c>
      <c r="H83" s="48" t="s">
        <v>347</v>
      </c>
      <c r="I83" s="48" t="s">
        <v>348</v>
      </c>
      <c r="J83" s="49" t="s">
        <v>349</v>
      </c>
      <c r="K83" s="49" t="s">
        <v>21</v>
      </c>
      <c r="L83" s="57">
        <f>14655.4</f>
        <v>14655.4</v>
      </c>
      <c r="M83" s="51">
        <f>14655.4</f>
        <v>14655.4</v>
      </c>
      <c r="N83" s="50">
        <f>18973.4</f>
        <v>18973.4</v>
      </c>
      <c r="O83" s="60">
        <f>P83+Q83</f>
        <v>23847.3</v>
      </c>
      <c r="P83" s="52">
        <v>23847.3</v>
      </c>
      <c r="Q83" s="52">
        <v>0</v>
      </c>
      <c r="R83" s="60">
        <f>S83+T83</f>
        <v>25378.5</v>
      </c>
      <c r="S83" s="52">
        <v>25378.5</v>
      </c>
      <c r="T83" s="52">
        <v>0</v>
      </c>
      <c r="U83" s="60">
        <f>V83+W83</f>
        <v>26225.3</v>
      </c>
      <c r="V83" s="52">
        <v>26225.3</v>
      </c>
      <c r="W83" s="52">
        <v>0</v>
      </c>
      <c r="X83" s="38"/>
      <c r="Y83" s="129"/>
      <c r="Z83" s="129"/>
      <c r="AA83" s="129"/>
      <c r="AB83" s="129"/>
      <c r="AC83" s="129"/>
      <c r="AD83" s="129"/>
    </row>
    <row r="84" spans="1:30" s="124" customFormat="1" ht="38.25" customHeight="1">
      <c r="A84" s="38"/>
      <c r="B84" s="63"/>
      <c r="C84" s="45" t="s">
        <v>287</v>
      </c>
      <c r="D84" s="120"/>
      <c r="E84" s="41"/>
      <c r="F84" s="41"/>
      <c r="G84" s="41"/>
      <c r="H84" s="41"/>
      <c r="I84" s="41"/>
      <c r="J84" s="41"/>
      <c r="K84" s="41"/>
      <c r="L84" s="55"/>
      <c r="M84" s="55"/>
      <c r="N84" s="55"/>
      <c r="O84" s="61"/>
      <c r="P84" s="55"/>
      <c r="Q84" s="55"/>
      <c r="R84" s="61"/>
      <c r="S84" s="55"/>
      <c r="T84" s="55"/>
      <c r="U84" s="61"/>
      <c r="V84" s="55"/>
      <c r="W84" s="55"/>
      <c r="X84" s="38"/>
      <c r="Y84" s="129"/>
      <c r="Z84" s="129"/>
      <c r="AA84" s="129"/>
      <c r="AB84" s="129"/>
      <c r="AC84" s="129"/>
      <c r="AD84" s="129"/>
    </row>
    <row r="85" spans="1:30" s="124" customFormat="1" ht="192" customHeight="1">
      <c r="A85" s="38"/>
      <c r="B85" s="63"/>
      <c r="C85" s="56" t="s">
        <v>288</v>
      </c>
      <c r="D85" s="59" t="s">
        <v>19</v>
      </c>
      <c r="E85" s="58" t="s">
        <v>19</v>
      </c>
      <c r="F85" s="58" t="s">
        <v>19</v>
      </c>
      <c r="G85" s="58" t="s">
        <v>19</v>
      </c>
      <c r="H85" s="58" t="s">
        <v>19</v>
      </c>
      <c r="I85" s="58" t="s">
        <v>19</v>
      </c>
      <c r="J85" s="59" t="s">
        <v>19</v>
      </c>
      <c r="K85" s="59" t="s">
        <v>19</v>
      </c>
      <c r="L85" s="57">
        <v>333.9</v>
      </c>
      <c r="M85" s="51">
        <f>L85</f>
        <v>333.9</v>
      </c>
      <c r="N85" s="50">
        <v>358.9</v>
      </c>
      <c r="O85" s="60">
        <f>P85+Q85</f>
        <v>323.9</v>
      </c>
      <c r="P85" s="52">
        <v>323.9</v>
      </c>
      <c r="Q85" s="52">
        <v>0</v>
      </c>
      <c r="R85" s="60">
        <f>S85+T85</f>
        <v>328.1</v>
      </c>
      <c r="S85" s="52">
        <v>328.1</v>
      </c>
      <c r="T85" s="52">
        <v>0</v>
      </c>
      <c r="U85" s="60">
        <f>V85+W85</f>
        <v>344</v>
      </c>
      <c r="V85" s="52">
        <v>344</v>
      </c>
      <c r="W85" s="52">
        <v>0</v>
      </c>
      <c r="X85" s="38"/>
      <c r="Y85" s="129"/>
      <c r="Z85" s="129"/>
      <c r="AA85" s="129"/>
      <c r="AB85" s="129"/>
      <c r="AC85" s="129"/>
      <c r="AD85" s="129"/>
    </row>
    <row r="86" spans="1:30" s="124" customFormat="1" ht="19.5" customHeight="1">
      <c r="A86" s="38"/>
      <c r="B86" s="63"/>
      <c r="C86" s="45" t="s">
        <v>289</v>
      </c>
      <c r="D86" s="40"/>
      <c r="E86" s="40"/>
      <c r="F86" s="40"/>
      <c r="G86" s="40"/>
      <c r="H86" s="40"/>
      <c r="I86" s="40"/>
      <c r="J86" s="40"/>
      <c r="K86" s="40"/>
      <c r="L86" s="55"/>
      <c r="M86" s="55"/>
      <c r="N86" s="55"/>
      <c r="O86" s="61"/>
      <c r="P86" s="55"/>
      <c r="Q86" s="55"/>
      <c r="R86" s="61"/>
      <c r="S86" s="55"/>
      <c r="T86" s="55"/>
      <c r="U86" s="61"/>
      <c r="V86" s="55"/>
      <c r="W86" s="55"/>
      <c r="X86" s="38"/>
      <c r="Y86" s="129"/>
      <c r="Z86" s="129"/>
      <c r="AA86" s="129"/>
      <c r="AB86" s="129"/>
      <c r="AC86" s="129"/>
      <c r="AD86" s="129"/>
    </row>
    <row r="87" spans="1:30" s="124" customFormat="1" ht="11.25" customHeight="1">
      <c r="A87" s="38"/>
      <c r="B87" s="63"/>
      <c r="C87" s="45" t="s">
        <v>7</v>
      </c>
      <c r="D87" s="41"/>
      <c r="E87" s="41"/>
      <c r="F87" s="41"/>
      <c r="G87" s="41"/>
      <c r="H87" s="41"/>
      <c r="I87" s="41"/>
      <c r="J87" s="41"/>
      <c r="K87" s="41"/>
      <c r="L87" s="55"/>
      <c r="M87" s="55"/>
      <c r="N87" s="55"/>
      <c r="O87" s="61"/>
      <c r="P87" s="55"/>
      <c r="Q87" s="55"/>
      <c r="R87" s="61"/>
      <c r="S87" s="55"/>
      <c r="T87" s="55"/>
      <c r="U87" s="61"/>
      <c r="V87" s="55"/>
      <c r="W87" s="55"/>
      <c r="X87" s="38"/>
      <c r="Y87" s="129"/>
      <c r="Z87" s="129"/>
      <c r="AA87" s="129"/>
      <c r="AB87" s="129"/>
      <c r="AC87" s="129"/>
      <c r="AD87" s="129"/>
    </row>
    <row r="88" spans="1:30" s="124" customFormat="1" ht="22.5" customHeight="1">
      <c r="A88" s="38"/>
      <c r="B88" s="63"/>
      <c r="C88" s="45" t="s">
        <v>290</v>
      </c>
      <c r="D88" s="40" t="s">
        <v>19</v>
      </c>
      <c r="E88" s="40" t="s">
        <v>19</v>
      </c>
      <c r="F88" s="40" t="s">
        <v>19</v>
      </c>
      <c r="G88" s="40" t="s">
        <v>19</v>
      </c>
      <c r="H88" s="40" t="s">
        <v>19</v>
      </c>
      <c r="I88" s="40" t="s">
        <v>19</v>
      </c>
      <c r="J88" s="40" t="s">
        <v>19</v>
      </c>
      <c r="K88" s="40" t="s">
        <v>19</v>
      </c>
      <c r="L88" s="55">
        <f>L89+L92</f>
        <v>42779.7</v>
      </c>
      <c r="M88" s="55">
        <f>M89+M92</f>
        <v>42777.2</v>
      </c>
      <c r="N88" s="55">
        <f>N92</f>
        <v>38266.2</v>
      </c>
      <c r="O88" s="61">
        <f>P88+Q88</f>
        <v>33883.2</v>
      </c>
      <c r="P88" s="55">
        <f>P89+P92</f>
        <v>33883.2</v>
      </c>
      <c r="Q88" s="55"/>
      <c r="R88" s="61">
        <f>S88+T88</f>
        <v>27755.6</v>
      </c>
      <c r="S88" s="55">
        <f>S89+S92</f>
        <v>27755.6</v>
      </c>
      <c r="T88" s="55"/>
      <c r="U88" s="61">
        <f>V88+W88</f>
        <v>27841.5</v>
      </c>
      <c r="V88" s="55">
        <f>V89+V92</f>
        <v>27841.5</v>
      </c>
      <c r="W88" s="55"/>
      <c r="X88" s="38"/>
      <c r="Y88" s="129"/>
      <c r="Z88" s="129"/>
      <c r="AA88" s="129"/>
      <c r="AB88" s="129"/>
      <c r="AC88" s="129"/>
      <c r="AD88" s="129"/>
    </row>
    <row r="89" spans="1:30" s="124" customFormat="1" ht="125.25" customHeight="1">
      <c r="A89" s="38"/>
      <c r="B89" s="63"/>
      <c r="C89" s="45" t="s">
        <v>291</v>
      </c>
      <c r="D89" s="40" t="s">
        <v>19</v>
      </c>
      <c r="E89" s="40" t="s">
        <v>19</v>
      </c>
      <c r="F89" s="40" t="s">
        <v>19</v>
      </c>
      <c r="G89" s="40" t="s">
        <v>19</v>
      </c>
      <c r="H89" s="40" t="s">
        <v>19</v>
      </c>
      <c r="I89" s="40" t="s">
        <v>19</v>
      </c>
      <c r="J89" s="40" t="s">
        <v>19</v>
      </c>
      <c r="K89" s="40" t="s">
        <v>19</v>
      </c>
      <c r="L89" s="55"/>
      <c r="M89" s="55"/>
      <c r="N89" s="95"/>
      <c r="O89" s="96"/>
      <c r="P89" s="95"/>
      <c r="Q89" s="95"/>
      <c r="R89" s="96"/>
      <c r="S89" s="95"/>
      <c r="T89" s="95"/>
      <c r="U89" s="96"/>
      <c r="V89" s="95"/>
      <c r="W89" s="95"/>
      <c r="X89" s="38"/>
      <c r="Y89" s="129"/>
      <c r="Z89" s="129"/>
      <c r="AA89" s="129"/>
      <c r="AB89" s="129"/>
      <c r="AC89" s="129"/>
      <c r="AD89" s="129"/>
    </row>
    <row r="90" spans="1:30" s="124" customFormat="1" ht="15" customHeight="1">
      <c r="A90" s="38"/>
      <c r="B90" s="63"/>
      <c r="C90" s="45" t="s">
        <v>289</v>
      </c>
      <c r="D90" s="120"/>
      <c r="E90" s="41"/>
      <c r="F90" s="41"/>
      <c r="G90" s="41"/>
      <c r="H90" s="41"/>
      <c r="I90" s="41"/>
      <c r="J90" s="41"/>
      <c r="K90" s="41"/>
      <c r="L90" s="55"/>
      <c r="M90" s="55"/>
      <c r="N90" s="95"/>
      <c r="O90" s="96"/>
      <c r="P90" s="95"/>
      <c r="Q90" s="95"/>
      <c r="R90" s="96"/>
      <c r="S90" s="95"/>
      <c r="T90" s="95"/>
      <c r="U90" s="96"/>
      <c r="V90" s="95"/>
      <c r="W90" s="95"/>
      <c r="X90" s="38"/>
      <c r="Y90" s="129"/>
      <c r="Z90" s="129"/>
      <c r="AA90" s="129"/>
      <c r="AB90" s="129"/>
      <c r="AC90" s="129"/>
      <c r="AD90" s="129"/>
    </row>
    <row r="91" spans="1:30" s="124" customFormat="1" ht="15.75" customHeight="1">
      <c r="A91" s="38"/>
      <c r="B91" s="63"/>
      <c r="C91" s="45" t="s">
        <v>7</v>
      </c>
      <c r="D91" s="120"/>
      <c r="E91" s="41"/>
      <c r="F91" s="41"/>
      <c r="G91" s="41"/>
      <c r="H91" s="41"/>
      <c r="I91" s="41"/>
      <c r="J91" s="41"/>
      <c r="K91" s="41"/>
      <c r="L91" s="55"/>
      <c r="M91" s="55"/>
      <c r="N91" s="95"/>
      <c r="O91" s="96"/>
      <c r="P91" s="95"/>
      <c r="Q91" s="95"/>
      <c r="R91" s="96"/>
      <c r="S91" s="95"/>
      <c r="T91" s="95"/>
      <c r="U91" s="96"/>
      <c r="V91" s="95"/>
      <c r="W91" s="95"/>
      <c r="X91" s="38"/>
      <c r="Y91" s="129"/>
      <c r="Z91" s="129"/>
      <c r="AA91" s="129"/>
      <c r="AB91" s="129"/>
      <c r="AC91" s="129"/>
      <c r="AD91" s="129"/>
    </row>
    <row r="92" spans="1:30" s="124" customFormat="1" ht="66" customHeight="1">
      <c r="A92" s="38"/>
      <c r="B92" s="63"/>
      <c r="C92" s="121" t="s">
        <v>284</v>
      </c>
      <c r="D92" s="102" t="s">
        <v>301</v>
      </c>
      <c r="E92" s="102" t="s">
        <v>304</v>
      </c>
      <c r="F92" s="102" t="s">
        <v>302</v>
      </c>
      <c r="G92" s="122"/>
      <c r="H92" s="122"/>
      <c r="I92" s="122"/>
      <c r="J92" s="144" t="s">
        <v>357</v>
      </c>
      <c r="K92" s="144" t="s">
        <v>358</v>
      </c>
      <c r="L92" s="145">
        <f>42779.7</f>
        <v>42779.7</v>
      </c>
      <c r="M92" s="145">
        <f>42777.2</f>
        <v>42777.2</v>
      </c>
      <c r="N92" s="145">
        <f>6958+31308.2</f>
        <v>38266.2</v>
      </c>
      <c r="O92" s="143">
        <f>P92+Q92</f>
        <v>33883.2</v>
      </c>
      <c r="P92" s="145">
        <f>547.1+33336.1</f>
        <v>33883.2</v>
      </c>
      <c r="Q92" s="145"/>
      <c r="R92" s="143">
        <f>S92+T92</f>
        <v>27755.6</v>
      </c>
      <c r="S92" s="145">
        <f>547.1+27208.5</f>
        <v>27755.6</v>
      </c>
      <c r="T92" s="145"/>
      <c r="U92" s="143">
        <f>V92+W92</f>
        <v>27841.5</v>
      </c>
      <c r="V92" s="145">
        <f>570.5+27271</f>
        <v>27841.5</v>
      </c>
      <c r="W92" s="145"/>
      <c r="X92" s="38"/>
      <c r="Y92" s="129"/>
      <c r="Z92" s="129"/>
      <c r="AA92" s="129"/>
      <c r="AB92" s="129"/>
      <c r="AC92" s="129"/>
      <c r="AD92" s="129"/>
    </row>
    <row r="93" spans="2:23" s="124" customFormat="1" ht="66.75" customHeight="1">
      <c r="B93" s="63"/>
      <c r="C93" s="63" t="s">
        <v>18</v>
      </c>
      <c r="D93" s="123"/>
      <c r="E93" s="123"/>
      <c r="F93" s="123"/>
      <c r="G93" s="123"/>
      <c r="H93" s="123"/>
      <c r="I93" s="123"/>
      <c r="J93" s="146"/>
      <c r="K93" s="146"/>
      <c r="L93" s="147">
        <f>L43+L31+L9+L82</f>
        <v>402785.7</v>
      </c>
      <c r="M93" s="147">
        <f aca="true" t="shared" si="8" ref="M93:W93">M43+M31+M9+M82</f>
        <v>379496.30000000005</v>
      </c>
      <c r="N93" s="147">
        <f t="shared" si="8"/>
        <v>485925.1</v>
      </c>
      <c r="O93" s="147">
        <f t="shared" si="8"/>
        <v>477444.8999999999</v>
      </c>
      <c r="P93" s="147">
        <f t="shared" si="8"/>
        <v>449791.29999999993</v>
      </c>
      <c r="Q93" s="147">
        <f t="shared" si="8"/>
        <v>27653.6</v>
      </c>
      <c r="R93" s="147">
        <f t="shared" si="8"/>
        <v>409977.5</v>
      </c>
      <c r="S93" s="147">
        <f t="shared" si="8"/>
        <v>409850.39999999997</v>
      </c>
      <c r="T93" s="147">
        <f t="shared" si="8"/>
        <v>127.10000000000001</v>
      </c>
      <c r="U93" s="147">
        <f t="shared" si="8"/>
        <v>415646.10000000003</v>
      </c>
      <c r="V93" s="147">
        <f t="shared" si="8"/>
        <v>415513.7</v>
      </c>
      <c r="W93" s="147">
        <f t="shared" si="8"/>
        <v>132.4</v>
      </c>
    </row>
    <row r="94" spans="3:17" ht="11.25">
      <c r="C94" s="148"/>
      <c r="D94" s="149"/>
      <c r="E94" s="149"/>
      <c r="F94" s="149"/>
      <c r="G94" s="149"/>
      <c r="H94" s="149"/>
      <c r="I94" s="149"/>
      <c r="J94" s="150"/>
      <c r="K94" s="150"/>
      <c r="L94" s="149"/>
      <c r="M94" s="151"/>
      <c r="N94" s="151"/>
      <c r="O94" s="152"/>
      <c r="P94" s="149"/>
      <c r="Q94" s="149"/>
    </row>
    <row r="95" spans="3:17" ht="11.25">
      <c r="C95" s="148"/>
      <c r="D95" s="149"/>
      <c r="E95" s="149"/>
      <c r="F95" s="149"/>
      <c r="G95" s="149"/>
      <c r="H95" s="149"/>
      <c r="I95" s="149"/>
      <c r="J95" s="150"/>
      <c r="K95" s="150"/>
      <c r="L95" s="149"/>
      <c r="M95" s="151"/>
      <c r="N95" s="151"/>
      <c r="O95" s="152"/>
      <c r="P95" s="149"/>
      <c r="Q95" s="149"/>
    </row>
    <row r="96" spans="3:17" ht="11.25">
      <c r="C96" s="148"/>
      <c r="D96" s="149"/>
      <c r="E96" s="149"/>
      <c r="F96" s="149"/>
      <c r="G96" s="149"/>
      <c r="H96" s="149"/>
      <c r="I96" s="149"/>
      <c r="J96" s="150"/>
      <c r="K96" s="150"/>
      <c r="L96" s="149"/>
      <c r="M96" s="151"/>
      <c r="N96" s="151"/>
      <c r="O96" s="152"/>
      <c r="P96" s="149"/>
      <c r="Q96" s="149"/>
    </row>
    <row r="97" spans="3:17" ht="11.25">
      <c r="C97" s="148"/>
      <c r="D97" s="189"/>
      <c r="E97" s="190"/>
      <c r="F97" s="190"/>
      <c r="G97" s="149"/>
      <c r="H97" s="149"/>
      <c r="I97" s="149"/>
      <c r="J97" s="150"/>
      <c r="K97" s="150"/>
      <c r="L97" s="149"/>
      <c r="M97" s="151"/>
      <c r="N97" s="151"/>
      <c r="O97" s="152"/>
      <c r="P97" s="149"/>
      <c r="Q97" s="149"/>
    </row>
    <row r="98" spans="3:17" ht="11.25">
      <c r="C98" s="148"/>
      <c r="D98" s="149"/>
      <c r="E98" s="149"/>
      <c r="F98" s="149"/>
      <c r="G98" s="149"/>
      <c r="H98" s="149"/>
      <c r="I98" s="149"/>
      <c r="J98" s="150"/>
      <c r="K98" s="150"/>
      <c r="L98" s="149"/>
      <c r="M98" s="151"/>
      <c r="N98" s="151"/>
      <c r="O98" s="152"/>
      <c r="P98" s="149"/>
      <c r="Q98" s="149"/>
    </row>
    <row r="99" spans="3:17" ht="11.25">
      <c r="C99" s="148"/>
      <c r="D99" s="149"/>
      <c r="E99" s="149"/>
      <c r="F99" s="149"/>
      <c r="G99" s="149"/>
      <c r="H99" s="149"/>
      <c r="I99" s="149"/>
      <c r="J99" s="150"/>
      <c r="K99" s="150"/>
      <c r="L99" s="149"/>
      <c r="M99" s="151"/>
      <c r="N99" s="151"/>
      <c r="O99" s="152"/>
      <c r="P99" s="149"/>
      <c r="Q99" s="149"/>
    </row>
    <row r="100" spans="3:17" ht="11.25">
      <c r="C100" s="148"/>
      <c r="D100" s="149"/>
      <c r="E100" s="149"/>
      <c r="F100" s="149"/>
      <c r="G100" s="149"/>
      <c r="H100" s="149"/>
      <c r="I100" s="149"/>
      <c r="J100" s="150"/>
      <c r="K100" s="150"/>
      <c r="L100" s="149"/>
      <c r="M100" s="151"/>
      <c r="N100" s="151"/>
      <c r="O100" s="152"/>
      <c r="P100" s="149"/>
      <c r="Q100" s="149"/>
    </row>
    <row r="101" spans="3:17" ht="11.25">
      <c r="C101" s="148"/>
      <c r="D101" s="149"/>
      <c r="E101" s="149"/>
      <c r="F101" s="149"/>
      <c r="G101" s="149"/>
      <c r="H101" s="149"/>
      <c r="I101" s="149"/>
      <c r="J101" s="150"/>
      <c r="K101" s="150"/>
      <c r="L101" s="149"/>
      <c r="M101" s="151"/>
      <c r="N101" s="151"/>
      <c r="O101" s="152"/>
      <c r="P101" s="149"/>
      <c r="Q101" s="149"/>
    </row>
  </sheetData>
  <sheetProtection/>
  <mergeCells count="79">
    <mergeCell ref="W25:W26"/>
    <mergeCell ref="Q25:Q26"/>
    <mergeCell ref="R25:R26"/>
    <mergeCell ref="S25:S26"/>
    <mergeCell ref="T25:T26"/>
    <mergeCell ref="U25:U26"/>
    <mergeCell ref="V25:V26"/>
    <mergeCell ref="J25:J26"/>
    <mergeCell ref="K25:K26"/>
    <mergeCell ref="L25:L26"/>
    <mergeCell ref="M25:M26"/>
    <mergeCell ref="N25:N26"/>
    <mergeCell ref="O25:O26"/>
    <mergeCell ref="C25:C26"/>
    <mergeCell ref="D25:D26"/>
    <mergeCell ref="E25:E26"/>
    <mergeCell ref="F25:F26"/>
    <mergeCell ref="G25:G26"/>
    <mergeCell ref="H25:H26"/>
    <mergeCell ref="D97:F97"/>
    <mergeCell ref="W9:W10"/>
    <mergeCell ref="S9:S10"/>
    <mergeCell ref="T43:T44"/>
    <mergeCell ref="Q43:Q44"/>
    <mergeCell ref="Q9:Q10"/>
    <mergeCell ref="P43:P44"/>
    <mergeCell ref="U43:U44"/>
    <mergeCell ref="R9:R10"/>
    <mergeCell ref="U9:U10"/>
    <mergeCell ref="H3:L3"/>
    <mergeCell ref="V9:V10"/>
    <mergeCell ref="V43:V44"/>
    <mergeCell ref="M9:M10"/>
    <mergeCell ref="N9:N10"/>
    <mergeCell ref="U6:W6"/>
    <mergeCell ref="W43:W44"/>
    <mergeCell ref="N6:N7"/>
    <mergeCell ref="G6:I6"/>
    <mergeCell ref="L6:M6"/>
    <mergeCell ref="L9:L10"/>
    <mergeCell ref="S43:S44"/>
    <mergeCell ref="N43:N44"/>
    <mergeCell ref="P9:P10"/>
    <mergeCell ref="L43:L44"/>
    <mergeCell ref="M43:M44"/>
    <mergeCell ref="O43:O44"/>
    <mergeCell ref="R43:R44"/>
    <mergeCell ref="O9:O10"/>
    <mergeCell ref="P25:P26"/>
    <mergeCell ref="B43:B44"/>
    <mergeCell ref="D9:D10"/>
    <mergeCell ref="E9:E10"/>
    <mergeCell ref="J9:J10"/>
    <mergeCell ref="G43:G44"/>
    <mergeCell ref="H43:H44"/>
    <mergeCell ref="F43:F44"/>
    <mergeCell ref="C43:C44"/>
    <mergeCell ref="C9:C10"/>
    <mergeCell ref="D43:D44"/>
    <mergeCell ref="B1:W1"/>
    <mergeCell ref="B5:C7"/>
    <mergeCell ref="D5:I5"/>
    <mergeCell ref="L5:W5"/>
    <mergeCell ref="D6:F6"/>
    <mergeCell ref="T9:T10"/>
    <mergeCell ref="F9:F10"/>
    <mergeCell ref="O6:Q6"/>
    <mergeCell ref="R6:T6"/>
    <mergeCell ref="B9:B10"/>
    <mergeCell ref="E43:E44"/>
    <mergeCell ref="J5:K6"/>
    <mergeCell ref="G9:G10"/>
    <mergeCell ref="H9:H10"/>
    <mergeCell ref="K43:K44"/>
    <mergeCell ref="I43:I44"/>
    <mergeCell ref="J43:J44"/>
    <mergeCell ref="I9:I10"/>
    <mergeCell ref="K9:K10"/>
    <mergeCell ref="I25:I26"/>
  </mergeCells>
  <printOptions horizontalCentered="1"/>
  <pageMargins left="0.17" right="0.16" top="0" bottom="0.15748031496062992" header="0" footer="0.15748031496062992"/>
  <pageSetup firstPageNumber="21" useFirstPageNumber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1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11.00390625" style="14" customWidth="1"/>
    <col min="2" max="2" width="13.25390625" style="14" customWidth="1"/>
    <col min="3" max="3" width="15.125" style="6" customWidth="1"/>
    <col min="4" max="4" width="13.625" style="6" customWidth="1"/>
    <col min="5" max="5" width="9.625" style="6" bestFit="1" customWidth="1"/>
    <col min="6" max="7" width="37.75390625" style="6" customWidth="1"/>
    <col min="8" max="8" width="7.75390625" style="6" customWidth="1"/>
    <col min="9" max="16384" width="9.125" style="6" customWidth="1"/>
  </cols>
  <sheetData>
    <row r="1" spans="1:8" ht="12.75">
      <c r="A1" s="3"/>
      <c r="B1" s="3"/>
      <c r="C1" s="195" t="s">
        <v>52</v>
      </c>
      <c r="D1" s="195"/>
      <c r="E1" s="195"/>
      <c r="F1" s="4"/>
      <c r="G1" s="4"/>
      <c r="H1" s="5"/>
    </row>
    <row r="2" spans="1:8" ht="12.75">
      <c r="A2" s="3"/>
      <c r="B2" s="196">
        <v>2015</v>
      </c>
      <c r="C2" s="197"/>
      <c r="D2" s="16">
        <v>2016</v>
      </c>
      <c r="E2" s="7"/>
      <c r="F2" s="7"/>
      <c r="G2" s="7"/>
      <c r="H2" s="5"/>
    </row>
    <row r="3" spans="1:8" ht="12.75">
      <c r="A3" s="3"/>
      <c r="B3" s="16" t="s">
        <v>88</v>
      </c>
      <c r="C3" s="15" t="s">
        <v>89</v>
      </c>
      <c r="D3" s="7"/>
      <c r="E3" s="7"/>
      <c r="F3" s="7"/>
      <c r="G3" s="7"/>
      <c r="H3" s="5"/>
    </row>
    <row r="4" spans="1:8" ht="12.75">
      <c r="A4" s="24" t="s">
        <v>96</v>
      </c>
      <c r="B4" s="29">
        <f>9228864.5-933484.6</f>
        <v>8295379.9</v>
      </c>
      <c r="C4" s="29">
        <f>9166497.19-797954.49</f>
        <v>8368542.699999999</v>
      </c>
      <c r="D4" s="17">
        <f>9159400-897730.27</f>
        <v>8261669.73</v>
      </c>
      <c r="E4" s="7"/>
      <c r="F4" s="7"/>
      <c r="G4" s="7"/>
      <c r="H4" s="5"/>
    </row>
    <row r="5" spans="1:8" ht="12.75">
      <c r="A5" s="24" t="s">
        <v>97</v>
      </c>
      <c r="B5" s="29">
        <v>933484.6</v>
      </c>
      <c r="C5" s="29">
        <v>797954.49</v>
      </c>
      <c r="D5" s="17">
        <v>897730.27</v>
      </c>
      <c r="E5" s="7"/>
      <c r="F5" s="7"/>
      <c r="G5" s="7"/>
      <c r="H5" s="5"/>
    </row>
    <row r="6" spans="1:8" ht="12.75">
      <c r="A6" s="24" t="s">
        <v>106</v>
      </c>
      <c r="B6" s="29">
        <f>207936.56+76255+4217123.33+166000+99000+167600</f>
        <v>4933914.89</v>
      </c>
      <c r="C6" s="29">
        <f>207936.56+76255+4190000+165982.13+99000+167600</f>
        <v>4906773.6899999995</v>
      </c>
      <c r="D6" s="17">
        <f>215000+15000+217000+79200</f>
        <v>526200</v>
      </c>
      <c r="E6" s="7"/>
      <c r="F6" s="7"/>
      <c r="G6" s="7"/>
      <c r="H6" s="5"/>
    </row>
    <row r="7" spans="1:8" ht="12.75">
      <c r="A7" s="24" t="s">
        <v>162</v>
      </c>
      <c r="B7" s="29">
        <f>982815.97+1738200</f>
        <v>2721015.9699999997</v>
      </c>
      <c r="C7" s="29">
        <f>982815.97+690000</f>
        <v>1672815.97</v>
      </c>
      <c r="D7" s="17">
        <v>315000</v>
      </c>
      <c r="E7" s="7"/>
      <c r="F7" s="7"/>
      <c r="G7" s="7"/>
      <c r="H7" s="5"/>
    </row>
    <row r="8" spans="1:8" ht="12.75">
      <c r="A8" s="24" t="s">
        <v>107</v>
      </c>
      <c r="B8" s="29">
        <v>64000</v>
      </c>
      <c r="C8" s="29">
        <v>64000</v>
      </c>
      <c r="D8" s="17">
        <v>0</v>
      </c>
      <c r="E8" s="7"/>
      <c r="F8" s="7"/>
      <c r="G8" s="7"/>
      <c r="H8" s="5"/>
    </row>
    <row r="9" spans="1:8" ht="12.75">
      <c r="A9" s="24" t="s">
        <v>143</v>
      </c>
      <c r="B9" s="29">
        <v>3918000</v>
      </c>
      <c r="C9" s="29">
        <v>3918000</v>
      </c>
      <c r="D9" s="17">
        <v>2846000</v>
      </c>
      <c r="E9" s="7"/>
      <c r="F9" s="7"/>
      <c r="G9" s="7"/>
      <c r="H9" s="5"/>
    </row>
    <row r="10" spans="1:8" ht="12.75">
      <c r="A10" s="24" t="s">
        <v>165</v>
      </c>
      <c r="B10" s="29">
        <v>1000</v>
      </c>
      <c r="C10" s="29">
        <v>1000</v>
      </c>
      <c r="D10" s="17">
        <v>1000</v>
      </c>
      <c r="E10" s="7"/>
      <c r="F10" s="7"/>
      <c r="G10" s="7"/>
      <c r="H10" s="5"/>
    </row>
    <row r="11" spans="1:8" ht="12.75">
      <c r="A11" s="24" t="s">
        <v>98</v>
      </c>
      <c r="B11" s="29">
        <f>7223718.63+670400</f>
        <v>7894118.63</v>
      </c>
      <c r="C11" s="29">
        <v>670400</v>
      </c>
      <c r="D11" s="17">
        <f>6931700+30000</f>
        <v>6961700</v>
      </c>
      <c r="E11" s="7"/>
      <c r="F11" s="7"/>
      <c r="G11" s="7"/>
      <c r="H11" s="5"/>
    </row>
    <row r="12" spans="1:8" ht="12.75">
      <c r="A12" s="24" t="s">
        <v>155</v>
      </c>
      <c r="B12" s="29">
        <v>25000</v>
      </c>
      <c r="C12" s="29">
        <v>25000</v>
      </c>
      <c r="D12" s="17">
        <v>22500</v>
      </c>
      <c r="E12" s="7"/>
      <c r="F12" s="7"/>
      <c r="G12" s="7"/>
      <c r="H12" s="5"/>
    </row>
    <row r="13" spans="1:8" ht="12.75">
      <c r="A13" s="24" t="s">
        <v>112</v>
      </c>
      <c r="B13" s="29">
        <f>36499.11+2102271.38+99000+319250+40000+288569.88+430580+5000+834820+3999.26+2357508+20984+483871+1129032+1998.63+128450+30000+183998.4+641468.4+188280.8+100000+65000+371000+14000+4000+37000</f>
        <v>9916580.86</v>
      </c>
      <c r="C13" s="29">
        <f>36499.11+2102271.38+99000+319250+40000+288569.88+430580+5000+834820+3999.26+2357508+20984+483600+1128400+1998.63+128450+30000+183998.4+641468.4+188280.8+100000+65000+371000+14000+4000+37000</f>
        <v>9915677.86</v>
      </c>
      <c r="D13" s="17">
        <f>36900+213000+95100+6000+5000+4000+353500+1776000+140100+6000+570900+223000+64000+2000+19000+4000+37000</f>
        <v>3555500</v>
      </c>
      <c r="E13" s="7"/>
      <c r="F13" s="7"/>
      <c r="G13" s="7"/>
      <c r="H13" s="5"/>
    </row>
    <row r="14" spans="1:8" ht="12.75">
      <c r="A14" s="24" t="s">
        <v>145</v>
      </c>
      <c r="B14" s="29">
        <f>12600+845000</f>
        <v>857600</v>
      </c>
      <c r="C14" s="29">
        <f>12600+845000</f>
        <v>857600</v>
      </c>
      <c r="D14" s="17">
        <f>7200+761000</f>
        <v>768200</v>
      </c>
      <c r="E14" s="7"/>
      <c r="F14" s="7"/>
      <c r="G14" s="7"/>
      <c r="H14" s="5"/>
    </row>
    <row r="15" spans="1:8" ht="12.75">
      <c r="A15" s="24" t="s">
        <v>169</v>
      </c>
      <c r="B15" s="29">
        <f>3915800+4000+4313350+44700</f>
        <v>8277850</v>
      </c>
      <c r="C15" s="29">
        <f>3915800+4000+4313350+44700</f>
        <v>8277850</v>
      </c>
      <c r="D15" s="17">
        <v>8069000</v>
      </c>
      <c r="E15" s="7"/>
      <c r="F15" s="7"/>
      <c r="G15" s="7"/>
      <c r="H15" s="5"/>
    </row>
    <row r="16" spans="1:8" ht="12.75">
      <c r="A16" s="24" t="s">
        <v>99</v>
      </c>
      <c r="B16" s="29">
        <f>10000+60401+11683500+8557250+100200+82735.2+590555+275000+64000</f>
        <v>21423641.2</v>
      </c>
      <c r="C16" s="29">
        <f>10000+54556.4+11683348+8557250+100200+82735.2+590555+237000+64000</f>
        <v>21379644.599999998</v>
      </c>
      <c r="D16" s="17">
        <f>10000+49000+18535100+100200+575100+193000+75000</f>
        <v>19537400</v>
      </c>
      <c r="E16" s="7"/>
      <c r="F16" s="7"/>
      <c r="G16" s="7"/>
      <c r="H16" s="5"/>
    </row>
    <row r="17" spans="1:8" ht="12.75">
      <c r="A17" s="24" t="s">
        <v>113</v>
      </c>
      <c r="B17" s="29">
        <f>200000+6077.52+400000</f>
        <v>606077.52</v>
      </c>
      <c r="C17" s="29">
        <f>200000+6077.52+400000</f>
        <v>606077.52</v>
      </c>
      <c r="D17" s="17">
        <f>100000+250000</f>
        <v>350000</v>
      </c>
      <c r="E17" s="7"/>
      <c r="F17" s="7"/>
      <c r="G17" s="7"/>
      <c r="H17" s="5"/>
    </row>
    <row r="18" spans="1:8" ht="12.75">
      <c r="A18" s="24" t="s">
        <v>182</v>
      </c>
      <c r="B18" s="29">
        <f>154166.56+718233.44</f>
        <v>872400</v>
      </c>
      <c r="C18" s="29">
        <f>154166.56+718233.44</f>
        <v>872400</v>
      </c>
      <c r="D18" s="17">
        <f>459700+263600</f>
        <v>723300</v>
      </c>
      <c r="E18" s="7"/>
      <c r="F18" s="7"/>
      <c r="G18" s="7"/>
      <c r="H18" s="5"/>
    </row>
    <row r="19" spans="1:8" ht="12.75">
      <c r="A19" s="24" t="s">
        <v>170</v>
      </c>
      <c r="B19" s="29">
        <f>15000+498045</f>
        <v>513045</v>
      </c>
      <c r="C19" s="29">
        <f>15000+42269.64</f>
        <v>57269.64</v>
      </c>
      <c r="D19" s="17">
        <f>13500+276400+6000</f>
        <v>295900</v>
      </c>
      <c r="E19" s="7"/>
      <c r="F19" s="7"/>
      <c r="G19" s="7"/>
      <c r="H19" s="5"/>
    </row>
    <row r="20" spans="1:8" ht="12.75">
      <c r="A20" s="24" t="s">
        <v>144</v>
      </c>
      <c r="B20" s="29">
        <v>0</v>
      </c>
      <c r="C20" s="29">
        <v>0</v>
      </c>
      <c r="D20" s="17">
        <v>0</v>
      </c>
      <c r="E20" s="7"/>
      <c r="F20" s="7"/>
      <c r="G20" s="7"/>
      <c r="H20" s="5"/>
    </row>
    <row r="21" spans="1:9" s="36" customFormat="1" ht="19.5" customHeight="1">
      <c r="A21" s="30" t="s">
        <v>92</v>
      </c>
      <c r="B21" s="31">
        <f>20361027.84+64795.07+199029.66+1174699+2106480+6000+466255+2959554.53</f>
        <v>27337841.1</v>
      </c>
      <c r="C21" s="32">
        <f>19890295.72+64793.07+199016.96+1174699+2016527.8+6000+465904.73+2959554.53</f>
        <v>26776791.810000002</v>
      </c>
      <c r="D21" s="32">
        <f>19993200+20800+145100+1373100+2157000+5400+684800+2088000</f>
        <v>26467400</v>
      </c>
      <c r="E21" s="33"/>
      <c r="F21" s="34"/>
      <c r="G21" s="34"/>
      <c r="H21" s="35" t="s">
        <v>53</v>
      </c>
      <c r="I21" s="36" t="s">
        <v>90</v>
      </c>
    </row>
    <row r="22" spans="1:8" ht="15.75" customHeight="1">
      <c r="A22" s="18" t="s">
        <v>100</v>
      </c>
      <c r="B22" s="19">
        <f>18300+1897300+1612435+460800+2729895+100000+800+1849113.6+1073405+1492685+10359761.13+278078.86+10483653.03+1317900+1358785+10446480.98+263400+759300+405840+8619770+6297930+52500+26500+1430.16+2137369.84+3596660+1265200+18184200+9843900+1595940</f>
        <v>98529332.6</v>
      </c>
      <c r="C22" s="20">
        <f>16207.92+1897300+1612435+460800+2601807.81+100000+800+1840570.77+1073405+1480898.09+10359761.13+278078.86+10483653.03+1317900+1358785+10446480.98+263400+759300+405840+8434715.22+6297930+52500+26500+1430.16+2136873.7+3596660+1265200+18184200+9843900+1595940</f>
        <v>98193272.67</v>
      </c>
      <c r="D22" s="20">
        <f>24200+3749900+286600+40400+2639900+2304400+1465900+12745800+280000+254000+10937200+2636000+219900+11635000+237100+1006300+62200+1050500+13058200+47300+5400+5400+6841100+633900+280000+27645000+1501000</f>
        <v>101592600</v>
      </c>
      <c r="E22" s="21"/>
      <c r="F22" s="22"/>
      <c r="G22" s="22"/>
      <c r="H22" s="2"/>
    </row>
    <row r="23" spans="1:8" ht="21.75" customHeight="1">
      <c r="A23" s="18" t="s">
        <v>148</v>
      </c>
      <c r="B23" s="19">
        <v>12310639.07</v>
      </c>
      <c r="C23" s="20">
        <v>12310639.07</v>
      </c>
      <c r="D23" s="20">
        <v>0</v>
      </c>
      <c r="E23" s="21"/>
      <c r="F23" s="22"/>
      <c r="G23" s="22"/>
      <c r="H23" s="2"/>
    </row>
    <row r="24" spans="1:8" ht="21.75" customHeight="1">
      <c r="A24" s="18" t="s">
        <v>188</v>
      </c>
      <c r="B24" s="19">
        <v>2145120</v>
      </c>
      <c r="C24" s="20">
        <v>2145120</v>
      </c>
      <c r="D24" s="20">
        <v>1997000</v>
      </c>
      <c r="E24" s="21"/>
      <c r="F24" s="22"/>
      <c r="G24" s="22"/>
      <c r="H24" s="2"/>
    </row>
    <row r="25" spans="1:8" ht="39.75" customHeight="1">
      <c r="A25" s="18" t="s">
        <v>93</v>
      </c>
      <c r="B25" s="19"/>
      <c r="C25" s="20"/>
      <c r="D25" s="20"/>
      <c r="E25" s="21"/>
      <c r="F25" s="22"/>
      <c r="G25" s="22"/>
      <c r="H25" s="2"/>
    </row>
    <row r="26" spans="1:8" ht="15.75" customHeight="1">
      <c r="A26" s="18" t="s">
        <v>156</v>
      </c>
      <c r="B26" s="19">
        <v>32961.2</v>
      </c>
      <c r="C26" s="20">
        <v>32961.2</v>
      </c>
      <c r="D26" s="20">
        <v>32114.7</v>
      </c>
      <c r="E26" s="21"/>
      <c r="F26" s="22"/>
      <c r="G26" s="22"/>
      <c r="H26" s="2"/>
    </row>
    <row r="27" spans="1:9" ht="15" customHeight="1">
      <c r="A27" s="18" t="s">
        <v>94</v>
      </c>
      <c r="B27" s="19">
        <f>368300</f>
        <v>368300</v>
      </c>
      <c r="C27" s="26">
        <f>368300</f>
        <v>368300</v>
      </c>
      <c r="D27" s="20">
        <v>361000</v>
      </c>
      <c r="E27" s="21"/>
      <c r="F27" s="23"/>
      <c r="G27" s="23"/>
      <c r="H27" s="2" t="s">
        <v>54</v>
      </c>
      <c r="I27" s="6" t="s">
        <v>91</v>
      </c>
    </row>
    <row r="28" spans="1:8" ht="20.25" customHeight="1">
      <c r="A28" s="18" t="s">
        <v>114</v>
      </c>
      <c r="B28" s="19">
        <v>572385.85</v>
      </c>
      <c r="C28" s="26">
        <v>572385.85</v>
      </c>
      <c r="D28" s="20">
        <v>3822600</v>
      </c>
      <c r="E28" s="21"/>
      <c r="F28" s="23"/>
      <c r="G28" s="23"/>
      <c r="H28" s="2"/>
    </row>
    <row r="29" spans="1:8" ht="15" customHeight="1">
      <c r="A29" s="18" t="s">
        <v>166</v>
      </c>
      <c r="B29" s="19">
        <v>423400</v>
      </c>
      <c r="C29" s="26">
        <v>401130</v>
      </c>
      <c r="D29" s="20">
        <v>395000</v>
      </c>
      <c r="E29" s="21"/>
      <c r="F29" s="23"/>
      <c r="G29" s="23"/>
      <c r="H29" s="2"/>
    </row>
    <row r="30" spans="1:8" ht="15" customHeight="1">
      <c r="A30" s="18" t="s">
        <v>167</v>
      </c>
      <c r="B30" s="19">
        <v>387000</v>
      </c>
      <c r="C30" s="26">
        <v>387000</v>
      </c>
      <c r="D30" s="20">
        <v>362000</v>
      </c>
      <c r="E30" s="21"/>
      <c r="F30" s="23"/>
      <c r="G30" s="23"/>
      <c r="H30" s="2"/>
    </row>
    <row r="31" spans="1:8" ht="15.75" customHeight="1">
      <c r="A31" s="18" t="s">
        <v>163</v>
      </c>
      <c r="B31" s="19">
        <v>65834000</v>
      </c>
      <c r="C31" s="26">
        <v>65834000</v>
      </c>
      <c r="D31" s="20">
        <v>69323800</v>
      </c>
      <c r="E31" s="21"/>
      <c r="F31" s="23"/>
      <c r="G31" s="23"/>
      <c r="H31" s="2"/>
    </row>
    <row r="32" spans="1:8" ht="15.75" customHeight="1">
      <c r="A32" s="18" t="s">
        <v>180</v>
      </c>
      <c r="B32" s="19">
        <v>1368900</v>
      </c>
      <c r="C32" s="26">
        <v>1366390.46</v>
      </c>
      <c r="D32" s="20">
        <v>1387200</v>
      </c>
      <c r="E32" s="21"/>
      <c r="F32" s="23"/>
      <c r="G32" s="23"/>
      <c r="H32" s="2"/>
    </row>
    <row r="33" spans="1:8" ht="14.25" customHeight="1">
      <c r="A33" s="18" t="s">
        <v>126</v>
      </c>
      <c r="B33" s="19">
        <v>327124</v>
      </c>
      <c r="C33" s="26">
        <v>327124</v>
      </c>
      <c r="D33" s="20">
        <v>619700</v>
      </c>
      <c r="E33" s="21"/>
      <c r="F33" s="23"/>
      <c r="G33" s="23"/>
      <c r="H33" s="2"/>
    </row>
    <row r="34" spans="1:8" ht="14.25" customHeight="1">
      <c r="A34" s="18" t="s">
        <v>127</v>
      </c>
      <c r="B34" s="19">
        <v>1370611</v>
      </c>
      <c r="C34" s="26">
        <v>1370611</v>
      </c>
      <c r="D34" s="20">
        <v>2653800</v>
      </c>
      <c r="E34" s="21"/>
      <c r="F34" s="23"/>
      <c r="G34" s="23"/>
      <c r="H34" s="2"/>
    </row>
    <row r="35" spans="1:8" ht="14.25" customHeight="1">
      <c r="A35" s="18" t="s">
        <v>132</v>
      </c>
      <c r="B35" s="19">
        <v>40500</v>
      </c>
      <c r="C35" s="26">
        <v>40500</v>
      </c>
      <c r="D35" s="20">
        <v>71600</v>
      </c>
      <c r="E35" s="21"/>
      <c r="F35" s="23"/>
      <c r="G35" s="23"/>
      <c r="H35" s="2"/>
    </row>
    <row r="36" spans="1:8" ht="14.25" customHeight="1">
      <c r="A36" s="18" t="s">
        <v>164</v>
      </c>
      <c r="B36" s="19">
        <v>198000</v>
      </c>
      <c r="C36" s="26">
        <v>57471.52</v>
      </c>
      <c r="D36" s="20">
        <v>213600</v>
      </c>
      <c r="E36" s="21"/>
      <c r="F36" s="23"/>
      <c r="G36" s="23"/>
      <c r="H36" s="2"/>
    </row>
    <row r="37" spans="1:8" ht="14.25" customHeight="1">
      <c r="A37" s="18" t="s">
        <v>129</v>
      </c>
      <c r="B37" s="19">
        <v>8725102</v>
      </c>
      <c r="C37" s="26">
        <v>8725102</v>
      </c>
      <c r="D37" s="20">
        <v>3409300</v>
      </c>
      <c r="E37" s="21"/>
      <c r="F37" s="23"/>
      <c r="G37" s="23"/>
      <c r="H37" s="2"/>
    </row>
    <row r="38" spans="1:8" ht="14.25" customHeight="1">
      <c r="A38" s="18" t="s">
        <v>135</v>
      </c>
      <c r="B38" s="19">
        <v>73000</v>
      </c>
      <c r="C38" s="26">
        <v>65144</v>
      </c>
      <c r="D38" s="20">
        <v>71200</v>
      </c>
      <c r="E38" s="21"/>
      <c r="F38" s="23"/>
      <c r="G38" s="23"/>
      <c r="H38" s="2"/>
    </row>
    <row r="39" spans="1:8" ht="14.25" customHeight="1">
      <c r="A39" s="18" t="s">
        <v>131</v>
      </c>
      <c r="B39" s="19">
        <v>59689</v>
      </c>
      <c r="C39" s="26">
        <v>59689</v>
      </c>
      <c r="D39" s="20">
        <v>285300</v>
      </c>
      <c r="E39" s="21"/>
      <c r="F39" s="23"/>
      <c r="G39" s="23"/>
      <c r="H39" s="2"/>
    </row>
    <row r="40" spans="1:8" ht="14.25" customHeight="1">
      <c r="A40" s="18" t="s">
        <v>133</v>
      </c>
      <c r="B40" s="19">
        <v>2783100</v>
      </c>
      <c r="C40" s="26">
        <v>2783100</v>
      </c>
      <c r="D40" s="20">
        <v>0</v>
      </c>
      <c r="E40" s="21"/>
      <c r="F40" s="23"/>
      <c r="G40" s="23"/>
      <c r="H40" s="2"/>
    </row>
    <row r="41" spans="1:8" ht="16.5" customHeight="1">
      <c r="A41" s="18" t="s">
        <v>125</v>
      </c>
      <c r="B41" s="19">
        <v>2940436</v>
      </c>
      <c r="C41" s="26">
        <v>2940436</v>
      </c>
      <c r="D41" s="20">
        <v>5523200</v>
      </c>
      <c r="E41" s="21"/>
      <c r="F41" s="23"/>
      <c r="G41" s="23"/>
      <c r="H41" s="2"/>
    </row>
    <row r="42" spans="1:8" ht="16.5" customHeight="1">
      <c r="A42" s="18" t="s">
        <v>181</v>
      </c>
      <c r="B42" s="19">
        <v>990000</v>
      </c>
      <c r="C42" s="26">
        <v>990000</v>
      </c>
      <c r="D42" s="20">
        <v>1177800</v>
      </c>
      <c r="E42" s="21"/>
      <c r="F42" s="23"/>
      <c r="G42" s="23"/>
      <c r="H42" s="2"/>
    </row>
    <row r="43" spans="1:8" ht="16.5" customHeight="1">
      <c r="A43" s="18" t="s">
        <v>130</v>
      </c>
      <c r="B43" s="19">
        <v>750000</v>
      </c>
      <c r="C43" s="26">
        <v>750000</v>
      </c>
      <c r="D43" s="20">
        <v>405200</v>
      </c>
      <c r="E43" s="21"/>
      <c r="F43" s="23"/>
      <c r="G43" s="23"/>
      <c r="H43" s="2"/>
    </row>
    <row r="44" spans="1:8" ht="16.5" customHeight="1">
      <c r="A44" s="18" t="s">
        <v>136</v>
      </c>
      <c r="B44" s="19">
        <v>1707500</v>
      </c>
      <c r="C44" s="26">
        <v>1707500</v>
      </c>
      <c r="D44" s="20">
        <v>4950000</v>
      </c>
      <c r="E44" s="21"/>
      <c r="F44" s="23"/>
      <c r="G44" s="23"/>
      <c r="H44" s="2"/>
    </row>
    <row r="45" spans="1:8" ht="16.5" customHeight="1">
      <c r="A45" s="18" t="s">
        <v>134</v>
      </c>
      <c r="B45" s="19">
        <v>1818500</v>
      </c>
      <c r="C45" s="26">
        <v>1818500</v>
      </c>
      <c r="D45" s="20">
        <v>1799200</v>
      </c>
      <c r="E45" s="21"/>
      <c r="F45" s="23"/>
      <c r="G45" s="23"/>
      <c r="H45" s="2"/>
    </row>
    <row r="46" spans="1:8" ht="17.25" customHeight="1">
      <c r="A46" s="18" t="s">
        <v>124</v>
      </c>
      <c r="B46" s="19">
        <v>9953000</v>
      </c>
      <c r="C46" s="26">
        <v>9953000</v>
      </c>
      <c r="D46" s="20">
        <v>0</v>
      </c>
      <c r="E46" s="21"/>
      <c r="F46" s="23"/>
      <c r="G46" s="23"/>
      <c r="H46" s="2"/>
    </row>
    <row r="47" spans="1:8" ht="15.75" customHeight="1">
      <c r="A47" s="18" t="s">
        <v>116</v>
      </c>
      <c r="B47" s="19">
        <v>1134083</v>
      </c>
      <c r="C47" s="26">
        <v>1134083</v>
      </c>
      <c r="D47" s="20">
        <v>3680800</v>
      </c>
      <c r="E47" s="21"/>
      <c r="F47" s="23"/>
      <c r="G47" s="23"/>
      <c r="H47" s="2"/>
    </row>
    <row r="48" spans="1:8" ht="15.75" customHeight="1">
      <c r="A48" s="18" t="s">
        <v>123</v>
      </c>
      <c r="B48" s="19">
        <v>12500000</v>
      </c>
      <c r="C48" s="26">
        <v>12500000</v>
      </c>
      <c r="D48" s="20">
        <v>0</v>
      </c>
      <c r="E48" s="21"/>
      <c r="F48" s="23"/>
      <c r="G48" s="23"/>
      <c r="H48" s="2"/>
    </row>
    <row r="49" spans="1:8" ht="16.5" customHeight="1">
      <c r="A49" s="18" t="s">
        <v>115</v>
      </c>
      <c r="B49" s="19">
        <v>698790</v>
      </c>
      <c r="C49" s="26">
        <v>698790</v>
      </c>
      <c r="D49" s="20">
        <v>143900</v>
      </c>
      <c r="E49" s="21"/>
      <c r="F49" s="23"/>
      <c r="G49" s="23"/>
      <c r="H49" s="2"/>
    </row>
    <row r="50" spans="1:8" ht="16.5" customHeight="1">
      <c r="A50" s="18" t="s">
        <v>121</v>
      </c>
      <c r="B50" s="19">
        <v>2761599</v>
      </c>
      <c r="C50" s="26">
        <v>2761599</v>
      </c>
      <c r="D50" s="20">
        <v>82500</v>
      </c>
      <c r="E50" s="21"/>
      <c r="F50" s="23"/>
      <c r="G50" s="23"/>
      <c r="H50" s="2"/>
    </row>
    <row r="51" spans="1:8" ht="16.5" customHeight="1">
      <c r="A51" s="18" t="s">
        <v>171</v>
      </c>
      <c r="B51" s="19">
        <v>700866</v>
      </c>
      <c r="C51" s="26">
        <v>700866</v>
      </c>
      <c r="D51" s="20">
        <v>0</v>
      </c>
      <c r="E51" s="21"/>
      <c r="F51" s="23"/>
      <c r="G51" s="23"/>
      <c r="H51" s="2"/>
    </row>
    <row r="52" spans="1:8" ht="16.5" customHeight="1">
      <c r="A52" s="18" t="s">
        <v>172</v>
      </c>
      <c r="B52" s="19">
        <v>2792304</v>
      </c>
      <c r="C52" s="26">
        <v>2792304</v>
      </c>
      <c r="D52" s="20">
        <v>1401700</v>
      </c>
      <c r="E52" s="21"/>
      <c r="F52" s="23"/>
      <c r="G52" s="23"/>
      <c r="H52" s="2"/>
    </row>
    <row r="53" spans="1:8" ht="12.75">
      <c r="A53" s="24" t="s">
        <v>95</v>
      </c>
      <c r="B53" s="20">
        <v>1704.26</v>
      </c>
      <c r="C53" s="20">
        <v>0</v>
      </c>
      <c r="D53" s="20">
        <v>2381.73</v>
      </c>
      <c r="E53" s="20"/>
      <c r="F53" s="27"/>
      <c r="G53" s="27"/>
      <c r="H53" s="5"/>
    </row>
    <row r="54" spans="1:8" ht="12.75">
      <c r="A54" s="24" t="s">
        <v>120</v>
      </c>
      <c r="B54" s="20">
        <v>8967825</v>
      </c>
      <c r="C54" s="20">
        <v>8967825</v>
      </c>
      <c r="D54" s="20">
        <v>6486000</v>
      </c>
      <c r="E54" s="20"/>
      <c r="F54" s="27"/>
      <c r="G54" s="27"/>
      <c r="H54" s="5"/>
    </row>
    <row r="55" spans="1:8" ht="12.75">
      <c r="A55" s="24" t="s">
        <v>122</v>
      </c>
      <c r="B55" s="20">
        <v>5883800</v>
      </c>
      <c r="C55" s="20">
        <v>5883800</v>
      </c>
      <c r="D55" s="20">
        <v>7289900</v>
      </c>
      <c r="E55" s="20"/>
      <c r="F55" s="27"/>
      <c r="G55" s="27"/>
      <c r="H55" s="5"/>
    </row>
    <row r="56" spans="1:9" ht="12.75">
      <c r="A56" s="24" t="s">
        <v>109</v>
      </c>
      <c r="B56" s="20"/>
      <c r="C56" s="20"/>
      <c r="D56" s="20"/>
      <c r="E56" s="20"/>
      <c r="F56" s="27"/>
      <c r="G56" s="27"/>
      <c r="H56" s="5"/>
      <c r="I56" s="10"/>
    </row>
    <row r="57" spans="1:9" ht="12.75">
      <c r="A57" s="24" t="s">
        <v>189</v>
      </c>
      <c r="B57" s="20">
        <v>5754400</v>
      </c>
      <c r="C57" s="20">
        <v>5754400</v>
      </c>
      <c r="D57" s="20">
        <v>5773900</v>
      </c>
      <c r="E57" s="20"/>
      <c r="F57" s="27"/>
      <c r="G57" s="27"/>
      <c r="H57" s="5"/>
      <c r="I57" s="10"/>
    </row>
    <row r="58" spans="1:8" ht="12.75">
      <c r="A58" s="24" t="s">
        <v>110</v>
      </c>
      <c r="B58" s="20">
        <v>273.2</v>
      </c>
      <c r="C58" s="20">
        <v>273.2</v>
      </c>
      <c r="D58" s="20">
        <v>314.5</v>
      </c>
      <c r="E58" s="20"/>
      <c r="F58" s="27"/>
      <c r="G58" s="27"/>
      <c r="H58" s="5"/>
    </row>
    <row r="59" spans="1:8" ht="12.75">
      <c r="A59" s="24" t="s">
        <v>111</v>
      </c>
      <c r="B59" s="20">
        <f>5187190+3784325+1750000+2399148.34+59000+50000+248711+478725+705375+3966500</f>
        <v>18628974.34</v>
      </c>
      <c r="C59" s="20">
        <f>5187190+3784325+1750000+2399148.34+59000+50000+248711+478725+705375+3966500</f>
        <v>18628974.34</v>
      </c>
      <c r="D59" s="20">
        <f>706800+560000+3000000+3308100+104400</f>
        <v>7679300</v>
      </c>
      <c r="E59" s="20"/>
      <c r="F59" s="27"/>
      <c r="G59" s="27"/>
      <c r="H59" s="5" t="s">
        <v>55</v>
      </c>
    </row>
    <row r="60" spans="1:8" ht="12.75">
      <c r="A60" s="24"/>
      <c r="B60" s="20"/>
      <c r="C60" s="20"/>
      <c r="D60" s="20"/>
      <c r="E60" s="20"/>
      <c r="F60" s="27"/>
      <c r="G60" s="27"/>
      <c r="H60" s="5" t="s">
        <v>56</v>
      </c>
    </row>
    <row r="61" spans="1:8" ht="12.75">
      <c r="A61" s="24"/>
      <c r="B61" s="20">
        <f>SUM(B4:B59)</f>
        <v>372124169.18999994</v>
      </c>
      <c r="C61" s="20">
        <f>SUM(C4:C59)</f>
        <v>362190089.58999985</v>
      </c>
      <c r="D61" s="20">
        <f>SUM(D4:D59)</f>
        <v>312592410.93</v>
      </c>
      <c r="E61" s="20"/>
      <c r="F61" s="27"/>
      <c r="G61" s="27"/>
      <c r="H61" s="5"/>
    </row>
    <row r="62" spans="1:8" ht="12.75">
      <c r="A62" s="24"/>
      <c r="B62" s="20"/>
      <c r="C62" s="20"/>
      <c r="D62" s="20"/>
      <c r="E62" s="20"/>
      <c r="F62" s="27"/>
      <c r="G62" s="27"/>
      <c r="H62" s="5"/>
    </row>
    <row r="63" spans="1:8" ht="12.75">
      <c r="A63" s="24"/>
      <c r="B63" s="20">
        <f>411125549.46-B61</f>
        <v>39001380.27000004</v>
      </c>
      <c r="C63" s="20">
        <f>399851298.8-C61</f>
        <v>37661209.21000016</v>
      </c>
      <c r="D63" s="20">
        <f>369107681.8-D61</f>
        <v>56515270.870000005</v>
      </c>
      <c r="E63" s="20"/>
      <c r="F63" s="27"/>
      <c r="G63" s="27"/>
      <c r="H63" s="5"/>
    </row>
    <row r="64" spans="1:8" ht="12.75">
      <c r="A64" s="24"/>
      <c r="B64" s="20"/>
      <c r="C64" s="20"/>
      <c r="D64" s="20"/>
      <c r="E64" s="20"/>
      <c r="F64" s="27"/>
      <c r="G64" s="27"/>
      <c r="H64" s="5"/>
    </row>
    <row r="65" spans="1:8" ht="12.75">
      <c r="A65" s="24"/>
      <c r="B65" s="20"/>
      <c r="C65" s="20"/>
      <c r="D65" s="20"/>
      <c r="E65" s="20"/>
      <c r="F65" s="27"/>
      <c r="G65" s="27"/>
      <c r="H65" s="5"/>
    </row>
    <row r="66" spans="1:12" ht="12.75">
      <c r="A66" s="24"/>
      <c r="B66" s="20"/>
      <c r="C66" s="20"/>
      <c r="D66" s="20"/>
      <c r="E66" s="20"/>
      <c r="F66" s="27"/>
      <c r="G66" s="27"/>
      <c r="H66" s="5"/>
      <c r="L66" s="25"/>
    </row>
    <row r="67" spans="1:8" ht="12.75">
      <c r="A67" s="24"/>
      <c r="B67" s="20"/>
      <c r="C67" s="20"/>
      <c r="D67" s="20"/>
      <c r="E67" s="20"/>
      <c r="F67" s="27"/>
      <c r="G67" s="27"/>
      <c r="H67" s="5"/>
    </row>
    <row r="68" spans="1:8" ht="12.75">
      <c r="A68" s="24"/>
      <c r="B68" s="20"/>
      <c r="C68" s="20"/>
      <c r="D68" s="20"/>
      <c r="E68" s="20"/>
      <c r="F68" s="27"/>
      <c r="G68" s="27"/>
      <c r="H68" s="5"/>
    </row>
    <row r="69" spans="1:8" ht="12.75">
      <c r="A69" s="24"/>
      <c r="B69" s="20"/>
      <c r="C69" s="20"/>
      <c r="D69" s="20"/>
      <c r="E69" s="20"/>
      <c r="F69" s="27"/>
      <c r="G69" s="27"/>
      <c r="H69" s="5" t="s">
        <v>57</v>
      </c>
    </row>
    <row r="70" spans="1:8" ht="12.75">
      <c r="A70" s="24"/>
      <c r="B70" s="20"/>
      <c r="C70" s="20"/>
      <c r="D70" s="20"/>
      <c r="E70" s="20"/>
      <c r="F70" s="27"/>
      <c r="G70" s="27"/>
      <c r="H70" s="5"/>
    </row>
    <row r="71" spans="1:8" ht="12.75">
      <c r="A71" s="24"/>
      <c r="B71" s="20"/>
      <c r="C71" s="20"/>
      <c r="D71" s="20"/>
      <c r="E71" s="20"/>
      <c r="F71" s="27"/>
      <c r="G71" s="27"/>
      <c r="H71" s="5"/>
    </row>
    <row r="72" spans="1:8" ht="12.75">
      <c r="A72" s="24"/>
      <c r="B72" s="20"/>
      <c r="C72" s="20"/>
      <c r="D72" s="20"/>
      <c r="E72" s="20"/>
      <c r="F72" s="27"/>
      <c r="G72" s="27"/>
      <c r="H72" s="5"/>
    </row>
    <row r="73" spans="1:8" ht="12.75">
      <c r="A73" s="24"/>
      <c r="B73" s="20"/>
      <c r="C73" s="20"/>
      <c r="D73" s="20"/>
      <c r="E73" s="20"/>
      <c r="F73" s="27"/>
      <c r="G73" s="27"/>
      <c r="H73" s="5"/>
    </row>
    <row r="74" spans="1:8" ht="12.75">
      <c r="A74" s="24"/>
      <c r="B74" s="20"/>
      <c r="C74" s="20"/>
      <c r="D74" s="20"/>
      <c r="E74" s="20"/>
      <c r="F74" s="27"/>
      <c r="G74" s="27"/>
      <c r="H74" s="5"/>
    </row>
    <row r="75" spans="1:8" ht="12.75">
      <c r="A75" s="24"/>
      <c r="B75" s="20"/>
      <c r="C75" s="20"/>
      <c r="D75" s="20"/>
      <c r="E75" s="20"/>
      <c r="F75" s="27"/>
      <c r="G75" s="27"/>
      <c r="H75" s="5"/>
    </row>
    <row r="76" spans="1:8" ht="12.75">
      <c r="A76" s="24"/>
      <c r="B76" s="20"/>
      <c r="C76" s="20"/>
      <c r="D76" s="20"/>
      <c r="E76" s="20"/>
      <c r="F76" s="28"/>
      <c r="G76" s="28"/>
      <c r="H76" s="5" t="s">
        <v>58</v>
      </c>
    </row>
    <row r="77" spans="1:8" ht="12.75">
      <c r="A77" s="9" t="s">
        <v>59</v>
      </c>
      <c r="B77" s="17"/>
      <c r="C77" s="17">
        <f>SUM(C21:C76)</f>
        <v>699650381.92</v>
      </c>
      <c r="D77" s="17">
        <f>SUM(D21:D76)</f>
        <v>628568992.73</v>
      </c>
      <c r="E77" s="17"/>
      <c r="F77" s="7"/>
      <c r="G77" s="7"/>
      <c r="H77" s="5"/>
    </row>
    <row r="78" spans="1:8" ht="12.75">
      <c r="A78" s="3"/>
      <c r="B78" s="3"/>
      <c r="C78" s="5"/>
      <c r="D78" s="5"/>
      <c r="E78" s="5"/>
      <c r="F78" s="5"/>
      <c r="G78" s="5"/>
      <c r="H78" s="5"/>
    </row>
    <row r="79" spans="1:8" ht="12.75">
      <c r="A79" s="3"/>
      <c r="B79" s="3"/>
      <c r="C79" s="5"/>
      <c r="D79" s="5"/>
      <c r="E79" s="5"/>
      <c r="F79" s="5"/>
      <c r="G79" s="5"/>
      <c r="H79" s="5"/>
    </row>
    <row r="80" spans="1:8" ht="12.75">
      <c r="A80" s="3" t="s">
        <v>60</v>
      </c>
      <c r="B80" s="3"/>
      <c r="C80" s="5">
        <v>272.7</v>
      </c>
      <c r="D80" s="5">
        <v>276.1</v>
      </c>
      <c r="E80" s="5"/>
      <c r="F80" s="5"/>
      <c r="G80" s="5"/>
      <c r="H80" s="5"/>
    </row>
    <row r="81" spans="1:8" ht="12.75">
      <c r="A81" s="3" t="s">
        <v>61</v>
      </c>
      <c r="B81" s="3"/>
      <c r="C81" s="5">
        <v>3966.5</v>
      </c>
      <c r="D81" s="5">
        <v>7140.8</v>
      </c>
      <c r="E81" s="5"/>
      <c r="F81" s="5"/>
      <c r="G81" s="5"/>
      <c r="H81" s="5"/>
    </row>
    <row r="82" spans="1:8" ht="12.75">
      <c r="A82" s="3" t="s">
        <v>62</v>
      </c>
      <c r="B82" s="3"/>
      <c r="C82" s="5">
        <f>5460.2+3983.5+2375+4331+742.5+2133.7</f>
        <v>19025.9</v>
      </c>
      <c r="D82" s="5">
        <f>5085.5+3710.2+0+691.5+249.4</f>
        <v>9736.6</v>
      </c>
      <c r="E82" s="5"/>
      <c r="F82" s="5"/>
      <c r="G82" s="5"/>
      <c r="H82" s="5"/>
    </row>
    <row r="83" spans="1:8" ht="12.75">
      <c r="A83" s="9" t="s">
        <v>59</v>
      </c>
      <c r="B83" s="9"/>
      <c r="C83" s="11">
        <f>SUM(C80:C82)</f>
        <v>23265.100000000002</v>
      </c>
      <c r="D83" s="11">
        <f>SUM(D80:D82)</f>
        <v>17153.5</v>
      </c>
      <c r="E83" s="11"/>
      <c r="F83" s="11"/>
      <c r="G83" s="11"/>
      <c r="H83" s="5"/>
    </row>
    <row r="84" spans="1:8" ht="51">
      <c r="A84" s="12" t="s">
        <v>63</v>
      </c>
      <c r="B84" s="12"/>
      <c r="C84" s="13">
        <f>5754.4-3620.7</f>
        <v>2133.7</v>
      </c>
      <c r="D84" s="13">
        <f>6742.8-6493.4</f>
        <v>249.40000000000055</v>
      </c>
      <c r="E84" s="11"/>
      <c r="F84" s="11"/>
      <c r="G84" s="11"/>
      <c r="H84" s="8"/>
    </row>
    <row r="85" spans="1:8" ht="12.75">
      <c r="A85" s="3"/>
      <c r="B85" s="3"/>
      <c r="C85" s="5"/>
      <c r="D85" s="5"/>
      <c r="E85" s="5"/>
      <c r="F85" s="5"/>
      <c r="G85" s="5"/>
      <c r="H85" s="5"/>
    </row>
    <row r="86" spans="1:8" ht="12.75">
      <c r="A86" s="3" t="s">
        <v>64</v>
      </c>
      <c r="B86" s="3"/>
      <c r="C86" s="5">
        <v>2775.6</v>
      </c>
      <c r="D86" s="5"/>
      <c r="E86" s="5"/>
      <c r="F86" s="5"/>
      <c r="G86" s="5"/>
      <c r="H86" s="5"/>
    </row>
    <row r="87" spans="1:8" ht="12.75">
      <c r="A87" s="3" t="s">
        <v>65</v>
      </c>
      <c r="B87" s="3"/>
      <c r="C87" s="5">
        <v>3620.7</v>
      </c>
      <c r="D87" s="5">
        <v>6493.4</v>
      </c>
      <c r="E87" s="5"/>
      <c r="F87" s="5"/>
      <c r="G87" s="5"/>
      <c r="H87" s="5"/>
    </row>
    <row r="88" spans="1:8" ht="12.75">
      <c r="A88" s="3" t="s">
        <v>66</v>
      </c>
      <c r="B88" s="3"/>
      <c r="C88" s="5">
        <v>63944.4</v>
      </c>
      <c r="D88" s="5">
        <v>63944.4</v>
      </c>
      <c r="E88" s="5"/>
      <c r="F88" s="5"/>
      <c r="G88" s="5"/>
      <c r="H88" s="5"/>
    </row>
    <row r="89" spans="1:8" ht="12.75">
      <c r="A89" s="3" t="s">
        <v>67</v>
      </c>
      <c r="B89" s="3"/>
      <c r="C89" s="8"/>
      <c r="D89" s="8"/>
      <c r="E89" s="8"/>
      <c r="F89" s="8"/>
      <c r="G89" s="8"/>
      <c r="H89" s="5"/>
    </row>
    <row r="90" spans="1:8" ht="12.75">
      <c r="A90" s="3" t="s">
        <v>68</v>
      </c>
      <c r="B90" s="3"/>
      <c r="C90" s="8">
        <v>5050.1</v>
      </c>
      <c r="D90" s="8">
        <v>5359.6</v>
      </c>
      <c r="E90" s="8"/>
      <c r="F90" s="8"/>
      <c r="G90" s="8"/>
      <c r="H90" s="5"/>
    </row>
    <row r="91" spans="1:8" ht="12.75">
      <c r="A91" s="3" t="s">
        <v>69</v>
      </c>
      <c r="B91" s="3"/>
      <c r="C91" s="8">
        <v>387.7</v>
      </c>
      <c r="D91" s="8">
        <v>412.3</v>
      </c>
      <c r="E91" s="8"/>
      <c r="F91" s="8"/>
      <c r="G91" s="8"/>
      <c r="H91" s="5"/>
    </row>
    <row r="92" spans="1:8" ht="12.75">
      <c r="A92" s="3" t="s">
        <v>70</v>
      </c>
      <c r="B92" s="3"/>
      <c r="C92" s="8">
        <v>387</v>
      </c>
      <c r="D92" s="8">
        <v>411.4</v>
      </c>
      <c r="E92" s="8"/>
      <c r="F92" s="8"/>
      <c r="G92" s="8"/>
      <c r="H92" s="5"/>
    </row>
    <row r="93" spans="1:8" ht="12.75">
      <c r="A93" s="3" t="s">
        <v>71</v>
      </c>
      <c r="B93" s="3"/>
      <c r="C93" s="8">
        <v>7790.7</v>
      </c>
      <c r="D93" s="8">
        <v>7790.7</v>
      </c>
      <c r="E93" s="8"/>
      <c r="F93" s="8"/>
      <c r="G93" s="8"/>
      <c r="H93" s="5"/>
    </row>
    <row r="94" spans="1:8" ht="12.75">
      <c r="A94" s="3" t="s">
        <v>72</v>
      </c>
      <c r="B94" s="3"/>
      <c r="C94" s="8">
        <v>1094.2</v>
      </c>
      <c r="D94" s="8">
        <v>1094.2</v>
      </c>
      <c r="E94" s="8"/>
      <c r="F94" s="8"/>
      <c r="G94" s="8"/>
      <c r="H94" s="5"/>
    </row>
    <row r="95" spans="1:8" ht="12.75">
      <c r="A95" s="3" t="s">
        <v>73</v>
      </c>
      <c r="B95" s="3"/>
      <c r="C95" s="8">
        <f>287.2+276.9</f>
        <v>564.0999999999999</v>
      </c>
      <c r="D95" s="8">
        <f>269.7+276.9</f>
        <v>546.5999999999999</v>
      </c>
      <c r="E95" s="8"/>
      <c r="F95" s="8"/>
      <c r="G95" s="8"/>
      <c r="H95" s="5"/>
    </row>
    <row r="96" spans="1:8" ht="12.75">
      <c r="A96" s="3" t="s">
        <v>74</v>
      </c>
      <c r="B96" s="3"/>
      <c r="C96" s="8">
        <v>1313.6</v>
      </c>
      <c r="D96" s="8">
        <v>1313.6</v>
      </c>
      <c r="E96" s="8"/>
      <c r="F96" s="8"/>
      <c r="G96" s="8"/>
      <c r="H96" s="5"/>
    </row>
    <row r="97" spans="1:8" ht="12.75">
      <c r="A97" s="3" t="s">
        <v>75</v>
      </c>
      <c r="B97" s="3"/>
      <c r="C97" s="8"/>
      <c r="D97" s="8">
        <v>3.5</v>
      </c>
      <c r="E97" s="8"/>
      <c r="F97" s="8"/>
      <c r="G97" s="8"/>
      <c r="H97" s="5"/>
    </row>
    <row r="98" spans="1:8" ht="12.75">
      <c r="A98" s="3" t="s">
        <v>76</v>
      </c>
      <c r="B98" s="3"/>
      <c r="C98" s="8">
        <v>220</v>
      </c>
      <c r="D98" s="8">
        <v>220</v>
      </c>
      <c r="E98" s="8"/>
      <c r="F98" s="8"/>
      <c r="G98" s="8"/>
      <c r="H98" s="5"/>
    </row>
    <row r="99" spans="1:8" ht="12.75">
      <c r="A99" s="3" t="s">
        <v>77</v>
      </c>
      <c r="B99" s="3"/>
      <c r="C99" s="8">
        <v>445.7</v>
      </c>
      <c r="D99" s="8">
        <v>503.6</v>
      </c>
      <c r="E99" s="8"/>
      <c r="F99" s="8"/>
      <c r="G99" s="8"/>
      <c r="H99" s="5"/>
    </row>
    <row r="100" spans="1:8" ht="12.75">
      <c r="A100" s="3" t="s">
        <v>78</v>
      </c>
      <c r="B100" s="3"/>
      <c r="C100" s="8">
        <v>412.6</v>
      </c>
      <c r="D100" s="8">
        <v>412.6</v>
      </c>
      <c r="E100" s="8"/>
      <c r="F100" s="8"/>
      <c r="G100" s="8"/>
      <c r="H100" s="5"/>
    </row>
    <row r="101" spans="1:8" ht="12.75">
      <c r="A101" s="3" t="s">
        <v>79</v>
      </c>
      <c r="B101" s="3"/>
      <c r="C101" s="8">
        <v>4900.5</v>
      </c>
      <c r="D101" s="8">
        <v>4900.5</v>
      </c>
      <c r="E101" s="8"/>
      <c r="F101" s="8"/>
      <c r="G101" s="8"/>
      <c r="H101" s="5"/>
    </row>
    <row r="102" spans="1:8" ht="12.75">
      <c r="A102" s="3" t="s">
        <v>80</v>
      </c>
      <c r="B102" s="3"/>
      <c r="C102" s="8">
        <f>5429.6+2808.4</f>
        <v>8238</v>
      </c>
      <c r="D102" s="8">
        <f>5492.6+2808.4</f>
        <v>8301</v>
      </c>
      <c r="E102" s="8"/>
      <c r="F102" s="8"/>
      <c r="G102" s="8"/>
      <c r="H102" s="5"/>
    </row>
    <row r="103" spans="1:8" ht="12.75">
      <c r="A103" s="3" t="s">
        <v>81</v>
      </c>
      <c r="B103" s="3"/>
      <c r="C103" s="8">
        <v>301.5</v>
      </c>
      <c r="D103" s="8">
        <v>282.9</v>
      </c>
      <c r="E103" s="8"/>
      <c r="F103" s="8"/>
      <c r="G103" s="8"/>
      <c r="H103" s="5"/>
    </row>
    <row r="104" spans="1:8" ht="12.75">
      <c r="A104" s="3" t="s">
        <v>82</v>
      </c>
      <c r="B104" s="3"/>
      <c r="C104" s="8">
        <v>1169.6</v>
      </c>
      <c r="D104" s="8">
        <v>1242.1</v>
      </c>
      <c r="E104" s="8"/>
      <c r="F104" s="8"/>
      <c r="G104" s="8"/>
      <c r="H104" s="5"/>
    </row>
    <row r="105" spans="1:8" ht="12.75">
      <c r="A105" s="3" t="s">
        <v>83</v>
      </c>
      <c r="B105" s="3"/>
      <c r="C105" s="8">
        <v>1692.7</v>
      </c>
      <c r="D105" s="8">
        <v>1603.6</v>
      </c>
      <c r="E105" s="8"/>
      <c r="F105" s="8"/>
      <c r="G105" s="8"/>
      <c r="H105" s="5"/>
    </row>
    <row r="106" spans="1:8" ht="12.75">
      <c r="A106" s="3" t="s">
        <v>84</v>
      </c>
      <c r="B106" s="3"/>
      <c r="C106" s="8">
        <v>363.6</v>
      </c>
      <c r="D106" s="8">
        <v>363.6</v>
      </c>
      <c r="E106" s="8"/>
      <c r="F106" s="8"/>
      <c r="G106" s="8"/>
      <c r="H106" s="5"/>
    </row>
    <row r="107" spans="1:8" ht="12.75">
      <c r="A107" s="3" t="s">
        <v>85</v>
      </c>
      <c r="B107" s="3"/>
      <c r="C107" s="8">
        <v>73</v>
      </c>
      <c r="D107" s="8">
        <v>59.3</v>
      </c>
      <c r="E107" s="8"/>
      <c r="F107" s="8"/>
      <c r="G107" s="8"/>
      <c r="H107" s="5"/>
    </row>
    <row r="108" spans="1:8" ht="12.75">
      <c r="A108" s="3" t="s">
        <v>86</v>
      </c>
      <c r="B108" s="3"/>
      <c r="C108" s="8">
        <v>38048</v>
      </c>
      <c r="D108" s="8">
        <v>38048</v>
      </c>
      <c r="E108" s="8"/>
      <c r="F108" s="8"/>
      <c r="G108" s="8"/>
      <c r="H108" s="5"/>
    </row>
    <row r="109" spans="1:8" ht="12.75">
      <c r="A109" s="9" t="s">
        <v>59</v>
      </c>
      <c r="B109" s="9"/>
      <c r="C109" s="11">
        <f>SUM(C86:C108)</f>
        <v>142793.30000000002</v>
      </c>
      <c r="D109" s="11">
        <f>SUM(D86:D108)</f>
        <v>143306.90000000002</v>
      </c>
      <c r="E109" s="11"/>
      <c r="F109" s="11"/>
      <c r="G109" s="11"/>
      <c r="H109" s="5"/>
    </row>
    <row r="110" spans="1:8" ht="12.75">
      <c r="A110" s="3"/>
      <c r="B110" s="3"/>
      <c r="C110" s="5"/>
      <c r="D110" s="5"/>
      <c r="E110" s="5"/>
      <c r="F110" s="5"/>
      <c r="G110" s="5"/>
      <c r="H110" s="5"/>
    </row>
    <row r="111" spans="1:8" ht="12.75">
      <c r="A111" s="9" t="s">
        <v>87</v>
      </c>
      <c r="B111" s="9"/>
      <c r="C111" s="7">
        <f>C77+C83+C109</f>
        <v>699816440.3199999</v>
      </c>
      <c r="D111" s="7">
        <f>D77+D83+D109</f>
        <v>628729453.13</v>
      </c>
      <c r="E111" s="7"/>
      <c r="F111" s="7"/>
      <c r="G111" s="7"/>
      <c r="H111" s="5"/>
    </row>
  </sheetData>
  <sheetProtection/>
  <mergeCells count="2">
    <mergeCell ref="C1:E1"/>
    <mergeCell ref="B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1</cp:lastModifiedBy>
  <cp:lastPrinted>2020-04-06T10:23:08Z</cp:lastPrinted>
  <dcterms:created xsi:type="dcterms:W3CDTF">2015-01-13T12:52:34Z</dcterms:created>
  <dcterms:modified xsi:type="dcterms:W3CDTF">2020-04-06T10:28:28Z</dcterms:modified>
  <cp:category/>
  <cp:version/>
  <cp:contentType/>
  <cp:contentStatus/>
</cp:coreProperties>
</file>