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округ" sheetId="1" r:id="rId1"/>
  </sheets>
  <definedNames>
    <definedName name="_xlnm.Print_Area" localSheetId="0">'округ'!$A$1:$U$97</definedName>
  </definedNames>
  <calcPr fullCalcOnLoad="1"/>
</workbook>
</file>

<file path=xl/sharedStrings.xml><?xml version="1.0" encoding="utf-8"?>
<sst xmlns="http://schemas.openxmlformats.org/spreadsheetml/2006/main" count="683" uniqueCount="396">
  <si>
    <t>плановый период</t>
  </si>
  <si>
    <t>очередной</t>
  </si>
  <si>
    <t>текущий</t>
  </si>
  <si>
    <t>Объем средств на исполнение расходного обязательства</t>
  </si>
  <si>
    <t>раздел</t>
  </si>
  <si>
    <t>подраздел</t>
  </si>
  <si>
    <t>Российской Федерации</t>
  </si>
  <si>
    <t>х</t>
  </si>
  <si>
    <t>…</t>
  </si>
  <si>
    <t>в том числе:</t>
  </si>
  <si>
    <t>Наименование расходного обязательства, вопроса местного значения, полномочия, права муниципального образования</t>
  </si>
  <si>
    <t>Единица измерения: тыс руб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</si>
  <si>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</si>
  <si>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</si>
  <si>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средств (нормативные правовые акты, договоры, соглашения)</t>
  </si>
  <si>
    <t>наимено -</t>
  </si>
  <si>
    <t>номер</t>
  </si>
  <si>
    <t xml:space="preserve">дата </t>
  </si>
  <si>
    <t>вание,</t>
  </si>
  <si>
    <t>статьи</t>
  </si>
  <si>
    <t>вступления</t>
  </si>
  <si>
    <t xml:space="preserve">номер и </t>
  </si>
  <si>
    <t>(подстатьи),</t>
  </si>
  <si>
    <t>в силу,</t>
  </si>
  <si>
    <t>план</t>
  </si>
  <si>
    <t>факт</t>
  </si>
  <si>
    <t>Всего</t>
  </si>
  <si>
    <t>БДО</t>
  </si>
  <si>
    <t>БПО</t>
  </si>
  <si>
    <t>дата</t>
  </si>
  <si>
    <t>пункта</t>
  </si>
  <si>
    <t>срок</t>
  </si>
  <si>
    <t xml:space="preserve"> (подпункта)</t>
  </si>
  <si>
    <t>действия</t>
  </si>
  <si>
    <t>8</t>
  </si>
  <si>
    <t>в том числе</t>
  </si>
  <si>
    <t>3.1. за счет субвенций, предоставленных из
федерального бюджета или бюджета субъекта Российской Федерации, всего</t>
  </si>
  <si>
    <t>4.2. по предоставлению иных межбюджетных трансфертов, всего</t>
  </si>
  <si>
    <t>3.2.  за счет собственных доходов и источников финансирования дефицита бюджета сельского поселения, всего</t>
  </si>
  <si>
    <t>субъекта Российской Федерации, органа местного самоуправления</t>
  </si>
  <si>
    <t>1. Расходные обязательства, возникшие в результате принятия нормативных правовых актов Княгининского муниципального округа,заключение договоров (соглашений) в рамках реализации вопросов местного значения  всего</t>
  </si>
  <si>
    <t>2.  Расходные обязательства, возникшие в результате принятия нормативных правовых актов Княгининского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</si>
  <si>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2.2. Финансирование муниципальных учреждений</t>
  </si>
  <si>
    <t>3. Расходные обязательства, возникшие в результате принятия нормативных правовых актов Княгининского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</si>
  <si>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 Расходные обязательства, возникшие в результате принятия нормативных правовых актовКнягининского муниципального округа, заключения соглашений, предусматривающих предоставление межбюджетных трансфертов из бюджета муниципального округа другим бюджетам бюджетной системы Российской Федерации, всего</t>
  </si>
  <si>
    <t>4.1.  по предоставлению субсидий в бюджет субъекта Российской Федерации, всего</t>
  </si>
  <si>
    <t>Итого расходных обязательств  бюджета Княгининского муниципального округа Нижегородской области</t>
  </si>
  <si>
    <t>отчетный  2021 г.</t>
  </si>
  <si>
    <t>03</t>
  </si>
  <si>
    <t>05</t>
  </si>
  <si>
    <t>04</t>
  </si>
  <si>
    <t>02</t>
  </si>
  <si>
    <t>2022 г.</t>
  </si>
  <si>
    <t>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</si>
  <si>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1.25.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</si>
  <si>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</si>
  <si>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3.1.66. Субвенции на обеспечение полномочий по первичному воинскому учету органами местного самоуправления поселений,муниципального округа и городских округов</t>
  </si>
  <si>
    <t>Федеральный закон от 06.10.2003 N 131-ФЗ "Об общих принципах организации местного самоуправления в Российской Федерации"</t>
  </si>
  <si>
    <t>2023 г.</t>
  </si>
  <si>
    <t>2024 г.</t>
  </si>
  <si>
    <t>20 25 г.</t>
  </si>
  <si>
    <t>1.70. Утверждение правил благоустройства территории муниципального,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муниципального,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муниципального,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муниципального, городского округа</t>
  </si>
  <si>
    <t>ст.16</t>
  </si>
  <si>
    <t>1.40. организация в границах муниципального,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</si>
  <si>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1.41. дорожная деятельность в отношении автомобильных дорог местного значения в границах муниципального,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</si>
  <si>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1.53. организация ритуальных услуг и содержание мест захоронения</t>
  </si>
  <si>
    <t>04
05</t>
  </si>
  <si>
    <t>09
03</t>
  </si>
  <si>
    <t>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</si>
  <si>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полностью</t>
  </si>
  <si>
    <t>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</si>
  <si>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01</t>
  </si>
  <si>
    <t>13</t>
  </si>
  <si>
    <t xml:space="preserve">                                                 01.01.2020-31.12.2024</t>
  </si>
  <si>
    <t>10</t>
  </si>
  <si>
    <t>1.39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</si>
  <si>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12</t>
  </si>
  <si>
    <t xml:space="preserve">                                                01.01.2020-31.12.2024</t>
  </si>
  <si>
    <t>1.42 обеспечение проживающих в муниципальном,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</si>
  <si>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1.68 Резервный фонд</t>
  </si>
  <si>
    <t xml:space="preserve">                                      01.01.2020-31.12.2024</t>
  </si>
  <si>
    <t>2.1. Функционирование органов местного самоуправления</t>
  </si>
  <si>
    <t>2.10.организационное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</si>
  <si>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                                                        01.01.2020-31.12.2024</t>
  </si>
  <si>
    <t>Постановление "О субвенциях сельских поселений Княгининского района на осуществление полномочий по первичному воинскому учету на территориях, где отсутствуют военные комиссариаты"от 10.12.2010 №1107</t>
  </si>
  <si>
    <t>10.12.2010</t>
  </si>
  <si>
    <t>1.49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</si>
  <si>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 xml:space="preserve"> 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t>
  </si>
  <si>
    <t xml:space="preserve">
                                     01.01.2020-31.12.2024
</t>
  </si>
  <si>
    <t>01.01.2020-31.12.2024</t>
  </si>
  <si>
    <t>Положение об администрации Возрожденского сельсовета Княгининского района Нижегородской области № 25 от 19.12.2014г.
Положение по администрации Ананьевского сельсовета  Княгининского района Нижегородской области от 19.12.2014 № 25</t>
  </si>
  <si>
    <t>01.01.2015
с 01.01.2021 по 31.12.2023  2. 19.12.2014 с изменением от 22.10.2019</t>
  </si>
  <si>
    <t xml:space="preserve"> с  01.01.2020 по 31.12.2024</t>
  </si>
  <si>
    <t>Постановление администрации Возрожденского  сельсовета Княгининского района от 12.11.2019 №97 "Об утверждении муниципальной программы "Энергосбережение и повышения энергетической эффективности на территории  Возрожденского  сельсовета Княгининского района Нижегородской области на 2020-2024 г."                              
Постановление " Об утверждении Программы  "Энергосбережение и повышение энергетической эффективности на территории Белкинского сельсовета Княгининского района Нижегородской области» на 2020-2024 годы от 18.02.2020 № 10</t>
  </si>
  <si>
    <t xml:space="preserve">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11.11.2019г №91.                                                                                                                                                                                                                                                                                                                                                                                                                                               </t>
  </si>
  <si>
    <t>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</si>
  <si>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Постановление администрации Белкинского сельсовета"Об утверждении муниципальной программы  «Обеспечение безопасности жизни населения  Белкинского сельсовета Княгининского района Нижегородской области» на 2020-2024 годы от 09.01.2020  № 03
Постановление администрации Соловьевского сельсовета"Об утверждении муниципальной программы "Обеспечение безопасности жизни населения Соловьевского сельсовета Княгининского муниципального  района Нижегородской области на 2020-2024г от 11.11.2019г №92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"Безопасный город" на 2020-2024 годы № 355-п от 13.11.2019г.</t>
  </si>
  <si>
    <t>Закон Нижегородской области от 28.11.2013г. №159-З "Об организации проведения капитального ремонта общего
имущества в многоквартирных домах, расположенных
на территории Нижегородской области "</t>
  </si>
  <si>
    <t>Статья 5 пункт 5</t>
  </si>
  <si>
    <t>28.11.2013г.</t>
  </si>
  <si>
    <t>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</si>
  <si>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08</t>
  </si>
  <si>
    <t xml:space="preserve">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Белкинского сельсовета"Об утверждении муниципальной программы  «Обеспечение безопасности жизни населения  Белкинского сельсовета Княгининского района Нижегородской области» на 2020-2024 годы от 09.01.2020  № 03
Постановление администрации Соловьевского сельсовета"Об утверждении муниципальной программы "Обеспечение безопасности жизни населения Соловьевского сельсовета Княгининского муниципального  района Нижегородской области на 2020-2024г от 11.11.2019г №92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"Безопасный город" на 2020-2024 годы № 355-п от 13.11.2019г.</t>
  </si>
  <si>
    <t>1.31 обеспечение условий для развития на территории муниципального района физической культуры, школьного спорта и массового спорта, организация физкультурно-оздоровительных и спортивных мероприятий городского поселения</t>
  </si>
  <si>
    <t xml:space="preserve">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физической культуры и спорта на территории города Княгинино Княгининского района Нижегородской области" на 2020-2024 годы от 30.12.2020г. №423-п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"Социальная поддержка граждан города Княгинино Княгининского района Нижегородской области " на 2020-2024 годы от 13.11.2019г. № 356-п</t>
  </si>
  <si>
    <t xml:space="preserve">                                      01.01.2020-31.12.2024г.</t>
  </si>
  <si>
    <t>Положение об администрации Возрожденского сельсовета Княгининского района Нижегородской области № 25 от 19.12.2014г.
Положение об администрации Ананьевского сельсовета  Княгининского района Нижегородской области от 19.12.2014 № 25
Положение об администрации Возрожденского сельсовета Княгининского района Нижегородской области № 25 от 19.12.2014г.
Постановление администрации Белкинского сельсовета"Об утверждении муниципальной программы          
«Культура на территории Белкинского сельсовета Княгининского муниципального района Нижегородской области на 2021-2023 годы» от 16.11.2020  №77 а                                                                                                      . Положение об администрации Белкинского сельсовета Княгининского района Нижегородской области" от 19.12.2014 г № 23 утвержденное решением "О внесение изменений в Положение об администрации Белкинского сельсовета Княгининского района Нижегородской области" от 22.10.2019 № 11
Положение об администрации Соловьевского
сельсовета Княгининского муниципального района Нижегородской области, утвержденное
решением сельского Совета Соловьевского сельсовета
от 19 декабря 2014 года № 23 в редакции от 20.09.2019 года № 13
Постановление администрации города Княгинино Княгининского района Нижегородской области  "Об утверждении положения Администрации города Княгинино в новой редакции" от 19.12.2014г. № 25"</t>
  </si>
  <si>
    <t>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</si>
  <si>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 xml:space="preserve">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2020-2024 годы от 13.11.2019г. № 354-п                                                         </t>
  </si>
  <si>
    <t xml:space="preserve">Положение об администрации Возрожденского сельсовета Княгининского района Нижегородской области № 25 от 19.12.2014г.
Положение об администрации Ананьевского сельсовета  Княгининского района Нижегородской области от 19.12.2014 № 25
Положение об администрации Белкинского сельсовета Княгининского района Нижегородской области" от 19.12.2014 г № 23 утвержденное решением "О внесение изменений в Положение об администрации Белкинского сельсовета Княгининского района Нижегородской области" от 22.10.2019 № 11
Положение об администрации Ананьевского сельсовета  Княгининского района Нижегородской области от 19.12.2014 № 25
Положение об администрации Соловьевского
сельсовета Княгининского муниципального района Нижегородской области, утвержденное
решением сельского Совета Соловьевского сельсовета
от 19 декабря 2014 года № 23 в редакции от 20.09.2019 года № 13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2020-2024 годы от 13.11.2019г. № 354-п       </t>
  </si>
  <si>
    <t xml:space="preserve"> 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
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11.11.2019г №91.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2020-2024 годы от 13.11.2019г. № 354-п                   </t>
  </si>
  <si>
    <t>1.32 организация и осуществление мероприятий межпоселенческого характера по работе с детьми и молодежью</t>
  </si>
  <si>
    <t xml:space="preserve">Постановление администрации Княгининского муниципального района Нижегородской области от 06.10.2022 №697 "О создании муниципального казенного учреждения "Центр учета, отчетности и сопровождения муниципальных закупок Княгининского муниципального округа Нижегородской области"
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 б/н от 23.12.2021г.   </t>
  </si>
  <si>
    <t>06.10.2022
23.12.2021</t>
  </si>
  <si>
    <t xml:space="preserve">  Постановление администрации Возрожденского  сельсовета Княгининского района от 12.11.2019 №95 "Об утверждении муниципальной программы "Развитие благоустройства трритории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
.Постановление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Постановление администрации Белкинского сельсовета  "Об утверждении программы «Борьба с борщевиком Сосновского на территории муниципального образования  Белкинский сельсовет Княгининского муниципального района Нижегородской области на 2021-2023 годы»    от 09.11.2020  № 70  
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11.11.2016г №91.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"Борьба с борщевиком Сосновского на территории муниципального образования города Княгинино Княгининского района Нижегородской области на 2021-2023 годы"   от 30.12.2020 г №419-п                          
</t>
  </si>
  <si>
    <t>Наименование субъекта бюджетного планирования (для реестра расходных обязательств субъекта бюджетного планирования бюджета Княгининского муниципального района (округа) Княгининский муниципальный округ</t>
  </si>
  <si>
    <t>1.1.Составление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</si>
  <si>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</si>
  <si>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15, п. 1, п.п. 1
2) ст. 22, п. 2
</t>
  </si>
  <si>
    <t>1)  06.10.2003, не установлен, не установлен
2) 02.03.2007, не установлен</t>
  </si>
  <si>
    <t>Закон Нижегородской области от 03.08.2007 № 99-З "О муниципальной службе в Нижегородской области"</t>
  </si>
  <si>
    <t>ст. 38, абз, 1</t>
  </si>
  <si>
    <t>03.08.2007, 
не установлен</t>
  </si>
  <si>
    <t>06</t>
  </si>
  <si>
    <t>1.2. Установление, изменение и отмена местных налогов и сборов муниципального района</t>
  </si>
  <si>
    <t>Федеральный закон от 06.10.2003 № 131-ФЗ "Об общих принципах организации местного самоуправления в Российской Федерации"</t>
  </si>
  <si>
    <t xml:space="preserve">ст. 15, п. 1, п.п. 2
</t>
  </si>
  <si>
    <t xml:space="preserve"> 06.10.2003, не установлен, не установлен</t>
  </si>
  <si>
    <t>1.9. Участие в предупреждении и ликвидации последствий чрезвычайных ситуаций на территории муниципального района</t>
  </si>
  <si>
    <t>полностью
ст. 8, п. 2</t>
  </si>
  <si>
    <t xml:space="preserve">                                   01.01.2020-31.12.2024г.
25.04.1997, не установлен</t>
  </si>
  <si>
    <t>01
03</t>
  </si>
  <si>
    <t>2.5.Создание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</si>
  <si>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1) Федеральный закон от 06.10.2003 № 131-ФЗ "Об общих принципах организации местного самоуправления в Российской Федерации"
</t>
  </si>
  <si>
    <t xml:space="preserve">1) ст.17, п 3
</t>
  </si>
  <si>
    <t xml:space="preserve">1) 06.10.2003, не установлен, не установлен                            
</t>
  </si>
  <si>
    <t xml:space="preserve"> Постановление Правительства Нижегородской области от 29.11.2010 №848 "О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t>
  </si>
  <si>
    <t>п.4</t>
  </si>
  <si>
    <t>01.01.2011, не установлен</t>
  </si>
  <si>
    <t>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</si>
  <si>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1) ст. 17, п. 8.1
2) ст. 11, п. 1, пп. 7
</t>
  </si>
  <si>
    <t>1) 06.10.2003, не установлен, не установлен2) 02.03.2007, не установлен</t>
  </si>
  <si>
    <t>ст. 10, п. 1, пп. 7</t>
  </si>
  <si>
    <t>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некомерческим организациям, благотворительной деятельности и добровольчеству</t>
  </si>
  <si>
    <t>3.1.5.Субвенции  на осуществление полномочий по поддержке сельскохозяйственного производства</t>
  </si>
  <si>
    <t>Закон Нижегородской области от 11.11.2005г.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</si>
  <si>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ст.1 подстатья1</t>
  </si>
  <si>
    <t>01.01.2016г.,"не установлена"</t>
  </si>
  <si>
    <t>3.1.28. Субвенция на возмещение части затрат на приобретение оборудования и техники  за счет средств областного бюджета</t>
  </si>
  <si>
    <t>Постановление  Правительства   Нижегородской области от 15.12.2015г. № 834 "Об утверждении положения о порядке предоставления субсидийна возмещение части затрат на приобретение оборудования и техники"</t>
  </si>
  <si>
    <t>в целом</t>
  </si>
  <si>
    <t>01.01.2017г., " не установлена"</t>
  </si>
  <si>
    <t>3.1.52 Субсидия на возмещение части затрат на поддержку элитного семеноводства за счет средств областного бюджета</t>
  </si>
  <si>
    <t>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t>
  </si>
  <si>
    <t>13.03.2020 "Не установлена"</t>
  </si>
  <si>
    <t>3.1.53 Сусидии на возмещение части затрат на поддержку племенного животноводства  за счет средств областного бюджета</t>
  </si>
  <si>
    <t xml:space="preserve">Постановление Правительства Нижегородской области от 03.07.2020г. № 538 "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</si>
  <si>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03.07.2020г., " не установлена"</t>
  </si>
  <si>
    <t>3.1.55. Субсидии на возмещение части затрат на поддержку собственного производства молока за счет средств федерального  бюджета</t>
  </si>
  <si>
    <t>Постановление Правительства  России от 30.11.2019г. " 1573 "О внесении изменений в государственную программу развития сельского хозяйства и регулирования рынков сельскохозяйственной продукции, сырья и продовольствия и признании утратившим силу отдельных актов и отдельных положений актов Правительства РФ"</t>
  </si>
  <si>
    <t>В целом</t>
  </si>
  <si>
    <t>01.01.2020г. "Не установлена"</t>
  </si>
  <si>
    <t>13.03.2020г., " не установлена"</t>
  </si>
  <si>
    <t>3.1.56.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областного бюджета</t>
  </si>
  <si>
    <t>Постановление  Правительства   Нижегородской области от 18.03.2020г.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t>
  </si>
  <si>
    <t xml:space="preserve">в целом </t>
  </si>
  <si>
    <t>18.03.2020 "Не установлена"</t>
  </si>
  <si>
    <t>3.1.57. Субсидии на возмещение части затрат на поддержку собственного производства молока за счет средств областного бюджета</t>
  </si>
  <si>
    <t>3.1.58. Субвенции на возмещение части затрат на поддержку элитного семеноводства за счет средств федерального  бюджета</t>
  </si>
  <si>
    <t>3.1.59.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федерального бюджета</t>
  </si>
  <si>
    <t>18.03.2020г., " не установлена"</t>
  </si>
  <si>
    <t>Постановление  Правительства   Нижегородской области от 21.06.2021 № 513 "Об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t>
  </si>
  <si>
    <t>3.1.54. Субсидии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</si>
  <si>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3.1.64 Субсидии на возмещение производителям зерновых культур части затрат на производтво и реализацию зерновых культур за счет средств областного бюджета</t>
  </si>
  <si>
    <t>3.1.65 Субсидии на возмещение производителям зерновых культур части затрат на производтво и реализацию зерновых культур за счет средств федерального бюджета</t>
  </si>
  <si>
    <t>3.1.67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федерального бюджета</t>
  </si>
  <si>
    <t>Постановление Правительства Нижегородской области от 08.12.2021г. № 1112 " Об утверждении Порядка предоставления из местного бюджета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</si>
  <si>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08.12.2021г., " не установлена"</t>
  </si>
  <si>
    <t>3.1.68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областного бюджета</t>
  </si>
  <si>
    <t>1.3. Владение, пользование и распоряжение имуществом, находящимся в муниципальной собственности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</si>
  <si>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</si>
  <si>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</si>
  <si>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06.10.2003, не установлен
2) 21.12.2001, не установлен</t>
  </si>
  <si>
    <t>1,полностью
2,полностью
3,полностью
4..ст. 1, п. 1</t>
  </si>
  <si>
    <t>1.Положение об администрации Возрожденского сельсовета Княгининского района Нижегородской области № 25 от 19.12.2014г.
2.Постановление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3.Постановление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11.11.2019г №91.          
4.Закон Нижегородской области от 13.07.2004 № 70-З "О приватизации государственного имущества в Нижегородской области"</t>
  </si>
  <si>
    <t>01.01.2015
 с 01.01.2020   по  31.12.2024
13.07.2004, не установлен</t>
  </si>
  <si>
    <t>04                      01
05</t>
  </si>
  <si>
    <t>12                         13  
 01</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</si>
  <si>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</si>
  <si>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</si>
  <si>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06.10.2003, не установлен
2) 26.03.2003, не установлен
3) 31.03.1999, не установлен</t>
  </si>
  <si>
    <t xml:space="preserve">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2020 -2024 годы, утвержденную постановлением администрации города Княгинино от 13.11.2019 № 354-п
 Закон Нижегородской области от 05.09.2012 № 117-З "Об энергосбережении и повышении энергетической эффективности на территории Нижегородской области"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</si>
  <si>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полностью  
 ст.5, абз, 11
 полностью                                          </t>
  </si>
  <si>
    <t xml:space="preserve">                                    01.01.2020-31.12.2024г.
05.09.2012, не установлен
2) 26.06.2008, не установлен</t>
  </si>
  <si>
    <t>02
06
03
02</t>
  </si>
  <si>
    <t xml:space="preserve">
04   
04
10
05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</si>
  <si>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</si>
  <si>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</si>
  <si>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1) 01.01.2006, не установлен
2) 10.12.1995, не установлен
3) 15.12.2004, не установлен</t>
  </si>
  <si>
    <t>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пассажирского автомобильного транспорта" на 2022-2024 годы № 89-п от 21.03.2022г.
Постановление Правительства Нижегородской области от 21.01.2005 № 3 "О введении на территории Нижегородской области единого социального проездного билета"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</si>
  <si>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Полностью
п. 6
                                  2) полностью</t>
  </si>
  <si>
    <t xml:space="preserve">                                    01.01.2022-31.12.2024г.
21.01.2005, не установлен
  01.04.2009-11.01.2016</t>
  </si>
  <si>
    <t>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</si>
  <si>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п. 7
ст. 24
п. 7</t>
  </si>
  <si>
    <t xml:space="preserve">  05.05.2006, не установлен 
04.01.1996, не установлен  
 05.05.2006, не установлен           
</t>
  </si>
  <si>
    <t>01
03
04
05</t>
  </si>
  <si>
    <t>11
09
10
02</t>
  </si>
  <si>
    <t>1.13.организация мероприятий межпоселенческого характера по охране окружающей среды</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</si>
  <si>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Минприроды России от 19.03.2012 № 69 "Об утверждении порядка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</si>
  <si>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</si>
  <si>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25.06.2012,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</si>
  <si>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</si>
  <si>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</si>
  <si>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</si>
  <si>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</si>
  <si>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06.10.2003, не установлен</t>
  </si>
  <si>
    <t xml:space="preserve">Федеральный закон от 06.10.2003 № 131-ФЗ "Об общих принципах организации местного самоуправления в Российской Федерации"
</t>
  </si>
  <si>
    <t xml:space="preserve"> ст. 15
</t>
  </si>
  <si>
    <t xml:space="preserve">06.10.2003, не установлен
</t>
  </si>
  <si>
    <t>05
05</t>
  </si>
  <si>
    <t>03
02</t>
  </si>
  <si>
    <t>1.19.формирование и содержание муниципального архива, включая хранение архивных фондов поселений</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</si>
  <si>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</si>
  <si>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</si>
  <si>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 xml:space="preserve">1) 06.10.2003, не установлен
2) 22.10.2004, не установлен
</t>
  </si>
  <si>
    <t>Закон Нижегородской области от 22.12.2005 № 209-З "Об архивном деле в Нижегородской области"</t>
  </si>
  <si>
    <t xml:space="preserve"> ст .8, п. 2</t>
  </si>
  <si>
    <t>22.12.2005, не установлен</t>
  </si>
  <si>
    <t xml:space="preserve">04            13            10    </t>
  </si>
  <si>
    <t>01            01        
04</t>
  </si>
  <si>
    <t>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</si>
  <si>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ст.17, п. 1, аб. 6</t>
  </si>
  <si>
    <t xml:space="preserve"> Постановление Правительства Нижегородской области от 25.12.2015 №206-З "О промышленной политике в Нижегородской области"</t>
  </si>
  <si>
    <t>ст.9</t>
  </si>
  <si>
    <t>25.12.2015, не установлен</t>
  </si>
  <si>
    <t>03
01</t>
  </si>
  <si>
    <t>10
13</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</si>
  <si>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                                                 </t>
  </si>
  <si>
    <t xml:space="preserve">1) ст. 15, п. 1, п.п. 25
2) ст. 11
3) ст. 16
</t>
  </si>
  <si>
    <t xml:space="preserve">1) 06.10.2003, не установлен
2) 24.07.2007, 31.12.2013
3) 10.01.1996, не установлен
</t>
  </si>
  <si>
    <t xml:space="preserve">
1) Постановление Правительства Нижегородской области от 16.09.2010 №618 "Об утверждении комплексной целевой программы развития малого предпринимательства в Нижегородской области на 2011 - 2015 годы"                                                    2) Постановление Правительства Нижегородской области от 28.10.2013 № 780 (ред. от 03.03.2014) "Об утверждении государственной программы "Развитие предпринимательства и туризма Нижегородской области на 2014 - 2016 годы"                                                                                     3) Постановление Правительства Нижегородской области от 29.04.2014 № 290 "Об утверждении государственной программы "Развитие предпринимательства и туризма Нижегородской области" </t>
  </si>
  <si>
    <t xml:space="preserve">
1) п.3 
2) п.1
3) п.1</t>
  </si>
  <si>
    <t xml:space="preserve">
1) 16.09.2010-31.12.2013
2) 03.03.2014, 31.12.2015
3)01.01.2015, не установлен</t>
  </si>
  <si>
    <t>04
04</t>
  </si>
  <si>
    <t>05
12</t>
  </si>
  <si>
    <t>1) Федеральный закон от 06.10.2003 № 131-ФЗ "Об общих принципах организации местного самоуправления в Российской Федерации"
2) Федеральный закон от 04.12.2007 №329-ФЗ "О физической культуре и спорте в Российской Федерации"
3) Постановление Правительства Российской Федерации от 24.07.2000 №551 "О военно-патриотических молодежных объединениях"</t>
  </si>
  <si>
    <t>1) ст. 15, п. 1, п.п. 27
2) ст. 13
3) п. 1, утвержденного положения</t>
  </si>
  <si>
    <t>1) 01.01.2006, не установлен
2) 04.12.2009, не установлен
3) 24.07.2000, не установлен</t>
  </si>
  <si>
    <t xml:space="preserve">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"Социальная поддержка граждан города Княгинино Княгининского района Нижегородской области " на 2020-2024 годы от 13.11.2019г. № 356-п
Закон Нижегородской области от 25.04.1997 № 70-З "О молодежной политике"
                                                                   </t>
  </si>
  <si>
    <t>04
10
10</t>
  </si>
  <si>
    <t>01
03
04</t>
  </si>
  <si>
    <t>Федеральный закон от 06.10.2003 N 131-ФЗ "Об общих принципах организации местного самоуправления в Российской Федерации"
Федеральный закон от 26.03.2003 № 35-ФЗ "Об электроэнергетике"</t>
  </si>
  <si>
    <t xml:space="preserve">ст.16
ст. 15, п. 1, п.п. 4
ст. 21, п. 4, абз. 14
</t>
  </si>
  <si>
    <t>06.10.2003
26.03.2003, не установлен</t>
  </si>
  <si>
    <t xml:space="preserve"> Постановление администрации Возрожденского  сельсовета Княгининского района от 12.11.2019 №95 "Об утверждении муниципальной программы "Развитие благоустройства трритории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Закон Нижегородской области от 05.09.2012 № 117-З "Об энергосбережении и повышении энергетической эффективности на территории Нижегородской области"   </t>
  </si>
  <si>
    <t>полностью
ст.5, абз, 11</t>
  </si>
  <si>
    <t xml:space="preserve"> 01.01.2020-31.12.2024
05.09.2012, не установлен</t>
  </si>
  <si>
    <t>01
04
05</t>
  </si>
  <si>
    <t>13
02
03</t>
  </si>
  <si>
    <t>1.Положение об администрации Возрожденского сельсовета Княгининского района Нижегородской области № 25 от 19.12.2014г.
2.Положение об администрации Белкинского сельсовета Княгининского района Нижегородской области" от 19.12.2014 г № 23 утвержденное решением "О внесение изменений в Положение об администрации Белкинского сельсовета Княгининского района Нижегородской области" от 22.10.2019 № 11
3.Положение об администрации Соловьевского
сельсовета Княгининского муниципального района Нижегородской области, утвержденное
решением сельского Совета Соловьевского сельсовета
от 19 декабря 2014 года № 23 в редакции от 20.09.2019 года № 13
Постановление Правительства Нижегородской области от 29.03.2019г. №168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2019-2025 годы"</t>
  </si>
  <si>
    <t>1.01.01.2015
2.с 19.12.2014    с изменением от 22.10.2019
3.19.12.2014с изменениями от 20.09.2019 года №13
29.03.2019, не установлен</t>
  </si>
  <si>
    <t>1.66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</si>
  <si>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1) Федеральный закон от 06.10.2003 № 131-ФЗ "Об общих принципах организации местного самоуправления в Российской Федерации"
</t>
  </si>
  <si>
    <t xml:space="preserve">1) полностью
</t>
  </si>
  <si>
    <t xml:space="preserve">1) 06.10.2003, не установлен
</t>
  </si>
  <si>
    <t xml:space="preserve">1.67 Приобретение жилых помещений для предоставления гражданам, утратившим жилые помещения в результате пожара, по договорам социального </t>
  </si>
  <si>
    <t xml:space="preserve">1) ст. 15
</t>
  </si>
  <si>
    <t xml:space="preserve">Постановление администрации Княгининского муниципального района от 14.09.2022г. № 632 "Об утверждении Порядка предоставления субсидии из резервного фонда администрации Княгининского муниципального района Нижегородской области Муниципальному унитарному предприятию «Княгининское жилищно-коммунальное хозяйство» на финансовое обеспечение затрат, связанных с погашением задолженности перед ресурсоснабжающими организациями"                                           
Постановление администрации Княгининского муниципального района от 16.05.2022г. № 348 "Об утверждении Порядка предоставления субсидии из резервного фонда администрации Княгининского муниципального района Нижегородской области Муниципальному унитарному предприятию «Княгининское жилищно-коммунальное хозяйство» на финансовое обеспечение затрат, связанных с проведением ремонта и восстановлением объектов водоснабжения, в том числе на приобретение необходимого оборудования"                                   
Постановление администрации Княгининского  от 09.03.2017г. № 350 "Об утверждении Порядка принятия решения о предоставлении бюджетных ассигнований на осуществление за счет субсидий из районного бюджета капитальных вложений в объекты капитального строительства муниципальной собственности Княгининского района и приобретение объектов недвижимого имущества в муниципальную собственность Княгининского района и предоставления указанных субсидий" 
Положение о бюджетном процессе в Возрожденском сельсовете Княгининского района Нижегородской области, принятый решением Возрожденского сельсовета Совета №13 от 17.12.2009
Постановление  "Об утверждении положения о порядке расходования средств резервного фонда администрации Ананьевского сельсовета Княгининского района Нижегородской области " 75 от 16.06.2014 г.
Постановление «Об утверждение положения о порядке расходования средств резервного фонда администрации Белкинского сельсовнта Княгининского района Нижегородской области» № 64 от 19.06.2014г.
Постановление № 22 от 27.03.2014 года "Об утверждении положения о порядке расходования средств резервного фонда Администрации Соловьевского сельсовета Княгининского района Нижегородской области
Постановление администрации города Княгинино Княгининского района Нижегородской области  "Об утверждении положения о порядке расходования средств резервного фонда  администрации города Княгинино Княгининского района Нижегородской области от 25.03.2014г. № 22-п
</t>
  </si>
  <si>
    <t>гл. 2, ст.6
полностью 
полностью                       полностью                    полностью</t>
  </si>
  <si>
    <t>17.12.2009
16.06.2014
14.09.2022, не установлен   2) 16.05.2022, не установлен 2) 09.03.2017, не установлен</t>
  </si>
  <si>
    <t>01
05</t>
  </si>
  <si>
    <t>11
02</t>
  </si>
  <si>
    <t>ст.16
ст.15</t>
  </si>
  <si>
    <t xml:space="preserve"> 
05
 01</t>
  </si>
  <si>
    <t xml:space="preserve">
03
13</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</si>
  <si>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</si>
  <si>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 xml:space="preserve">1) ст. 34, п. 9
2) ст. 22, п. 2
</t>
  </si>
  <si>
    <t>1) 06.10.2003, не установлен
2) 02.03.2007, не установлен</t>
  </si>
  <si>
    <t xml:space="preserve"> 1.Постановление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2.Постановление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                                                                                                                      3.Положение о пенсии за выслугу лет лицам, замещавшим муниципальные должности и должности муниципальной службы в Белкинском сельсовете Княгининского района Нижегородской области от 10.10.2013г. №24  
4. Решение сельского Совета Соловьевского сельского советаКнягининского района Нижегородской области №168 от 07.10.2013 г." Положение о пенсии за выслугу лет, лицам замещавшим муниципальные должности и должности муниципальной службы в Соловьевском сельсовете Княгининского района Нижегородской области"             
 5. Решение городской Думы города Княгинино от 14.10.2013 № 25 "Об утверждении Положения о пенсии за выслугу лет лицам, замещавшим муниципальные должности и должности муниципальной службы в городе Княгинино Княгининского района Нижегородской области"
6.Закон Нижегородской области от 03.08.2007 № 99-З "О муниципальной службе в Нижегородской области"
7. Закон Нижегородской области от 10.10.2003 № 93-З "О денежном содержании лиц, замещающих муниципальные должности в Нижегородской области"                                                        </t>
  </si>
  <si>
    <t xml:space="preserve">
полностью
№16, гл.5, ст.22, п.1,8 №24
6. ст. 38, абз, 1
7.  ст. 6</t>
  </si>
  <si>
    <t xml:space="preserve">                                                    01.01.2020-31.12.2024
10.10.2013
6. 03.08.2007, не установлен
7. 10.10.2003, не установлен</t>
  </si>
  <si>
    <t>2.13.учреждение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</si>
  <si>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</si>
  <si>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</si>
  <si>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06.10.2003,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</si>
  <si>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</si>
  <si>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</si>
  <si>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</si>
  <si>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01
01           03       
 01    
 04</t>
  </si>
  <si>
    <t>06
04            09   
 13
 10</t>
  </si>
  <si>
    <t>3.1.4.Субвенции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</si>
  <si>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</si>
  <si>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</si>
  <si>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</si>
  <si>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</si>
  <si>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</si>
  <si>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</si>
  <si>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3.1.24.Субвенции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</si>
  <si>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Федеральный закон от 21.12.1996 № 159-ФЗ "О дополнительной гарантии социальной поддержки детей сирот и детей , оставшихся без попечения родителей"</t>
  </si>
  <si>
    <t>23.12.1996
не установлен</t>
  </si>
  <si>
    <t xml:space="preserve">1)Закон Нижегородской области от 10 декабря 2004 года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2) Закон Нижегородской области от 30 сентября 2008 года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ПОСТАНОВЛЕНИЕ
от 17 июня 2011 г.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t>
  </si>
  <si>
    <t>1)22.12.2004, не установлен                                                                                                          2)17.10.2008, не установлен       3) 29.07.2011 не установлен</t>
  </si>
  <si>
    <t>3.1.27. 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</si>
  <si>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Постановление Правительства РФ от 07.11.2005 № 659 "Об утверждении норм материального обеспечения детей-сирот и детей, оставшихся без попечения родителей, лиц из числа детей-сирот и детей, оставшихся без попечения родителей, обучающихся и воспитывающихся в федеральных государственных образовательных учреждениях, несовершеннолетних, обучающихся и воспитывающихся в федеральных государственных образовательных учреждениях - специальных профессиональных училищах открытого и закрытого типа и федеральном государственном учреждении "Сергиево Посадский детский дом слепоглухих Федерального агентства по здравоохранению и социальному развитию"
</t>
  </si>
  <si>
    <t>07.11.2005, не установлено</t>
  </si>
  <si>
    <t xml:space="preserve">Постановление Правительства Нижегородской области от 23.12.2004 № 288 "О порядке назначения и выплаты ежемесячного пособия на опекаемых детей, ежемесячной денежной выплаты и предоставления мер социальной поддержки по оплате жилья и коммунальных услуг детям-сиротам и детям, оставшимся без попечения родителей, а также лицам из числа детей-сирот и детей, оставшихся без попечения родителей, и порядке обеспечения проездом детей-сирот, детей, оставшихся без попечения родителей, и лиц из числа детей-сирот и детей, оставшихся без попечения родителей, обучающихся в образовательных учреждениях Нижегородской области"
</t>
  </si>
  <si>
    <t>23.12.2004, не установлено</t>
  </si>
  <si>
    <t>3.1.44.Субвенции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</si>
  <si>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1) ст. 19
</t>
  </si>
  <si>
    <t xml:space="preserve">1) 06.10.2003,
не установлен
</t>
  </si>
  <si>
    <t>1) Закон Нижегородской области от 06.12.2011 № 177-З "О межбюджетных отношениях в Нижегородской области"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</si>
  <si>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ст. 11                                                                                                          2) полностью</t>
  </si>
  <si>
    <t>1) 06.12.2011,
не установлен 2) 31.05.2005,
не установлен</t>
  </si>
  <si>
    <t xml:space="preserve">3.1.50. Субвенция на  организацию и осуществление деятельности по опеке и попечительству в отношении совершеннолетних граждан
</t>
  </si>
  <si>
    <t xml:space="preserve"> Закона Нижегородской области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</si>
  <si>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 xml:space="preserve"> Закона Нижегородской области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t>
  </si>
  <si>
    <t>18.08.2011 не установлен</t>
  </si>
  <si>
    <t>06     
 05</t>
  </si>
  <si>
    <t>03    
02</t>
  </si>
  <si>
    <t>05  
04</t>
  </si>
  <si>
    <t>02 
12</t>
  </si>
  <si>
    <t>01
01</t>
  </si>
  <si>
    <t>06
03</t>
  </si>
  <si>
    <t>ПРЕДВАРИТЕЛЬНЫЙ РЕЕСТР РАСХОДНЫХ ОБЯЗАТЕЛЬСТВ  КНЯГИНИНСКОГО МУНИЦИПАЛЬНОГО РАЙОНА (ОКРУГА) (РЕЕСТР РАСХОДНЫХ ОБЯЗАТЕЛЬСТВ СУБЪЕКТА БЮДЖЕТНОГО ПЛАНИРОВАНИЯ БЮДЖЕТА КНЯГИНИНСКОГО МУНИЦИПАЛЬНОГО ОКРУГА</t>
  </si>
  <si>
    <t>ст.15, п.1 п.п.11</t>
  </si>
  <si>
    <t xml:space="preserve"> 06.10.2003, не установлен
</t>
  </si>
  <si>
    <t>11
11</t>
  </si>
  <si>
    <t>02
03</t>
  </si>
  <si>
    <t>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</si>
  <si>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ст.15, п.1,п.п.19, ст.4, п.1</t>
  </si>
  <si>
    <t>Федеральный Закон  №78-ФЗ от 29.12.1994 "О библиотечном деле"</t>
  </si>
  <si>
    <t>ст.15, п.1 п.п.19.1</t>
  </si>
  <si>
    <t>08
04 
08
01</t>
  </si>
  <si>
    <t>02
01  
01
13</t>
  </si>
  <si>
    <t xml:space="preserve">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Постановление администрации Белкинского сельсовета"Об утверждении муниципальной программы  «Обеспечение безопасности жизни населения  Белкинского сельсовета Княгининского района Нижегородской области» на 2020-2024 годы от 09.01.2020  № 03
Постановление администрации Соловьевского сельсовета"Об утверждении муниципальной программы "Обеспечение безопасности жизни населения Соловьевского сельсовета Княгининского муниципального района Нижегородской области на 2020-2024г от 11.11.2019г №92.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"Безопасный город" на 2020-2024 годы № 355-п от 13.11.2019г.             
 Закон Нижегородской области от 06.07.2012 №88-З "О профилактике правонарушений в Нижегородской области"                                                                                                                                                                        </t>
  </si>
  <si>
    <t xml:space="preserve">полностью 
ст.11      </t>
  </si>
  <si>
    <t xml:space="preserve">                                                    01.01.2020-31.12.2024
28.07.2012</t>
  </si>
  <si>
    <t>03
07
07</t>
  </si>
  <si>
    <t>14
09
02</t>
  </si>
  <si>
    <t xml:space="preserve"> 01.01.2006, не установлен
 30.05.2001, не установлен
 21.12.1994, не установлен</t>
  </si>
  <si>
    <t xml:space="preserve"> ст. 15, п. 1
 ст. 1, п. 1
 ст. 11, п 2, п.п. "г"
</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</si>
  <si>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                                                                                4) Закон Российской Федерации от 29.12.2012 № 273-ФЗ "Об образовании в Российской Федерации"
</t>
  </si>
  <si>
    <t xml:space="preserve">1) 06.10.2003, не установлен
2) 10.07.1992, не установлен
3) 21.12.1996, не установлен
4) 01.09.2013, не установлен 
</t>
  </si>
  <si>
    <t>1) Закон Нижегородской области от 30.12.2005 № 212-З "О социальной поддержке отдельных категорий граждан в целях реализации их права на образование"</t>
  </si>
  <si>
    <t xml:space="preserve">1) ст. 11, п. 2
</t>
  </si>
  <si>
    <t xml:space="preserve">1) 30.12.2005, не установлен
</t>
  </si>
  <si>
    <t xml:space="preserve">1) ст. 15, п. 1, п.п. 11,
ст.16
2) ст. 5
3) ст. 5
4) гл.7, гл. 10
</t>
  </si>
  <si>
    <t>04
07
07
07
07                                                                                                                                                                                                          07</t>
  </si>
  <si>
    <t>01
01
02                                                 03
07
09</t>
  </si>
  <si>
    <t>01
10   
04 
01
04
08
10
01
03
04
05
11
07</t>
  </si>
  <si>
    <t>04               01                  10
13 
05
04
03
02
14
08
01
05
09</t>
  </si>
  <si>
    <t>01             03  
04 
 07       
 07    
 12   
 04
08
07</t>
  </si>
  <si>
    <t>13             09            12   
 03    
 07      
 01   
 08
04
09</t>
  </si>
  <si>
    <t xml:space="preserve">3.1.2 Субвенции на исполнение полномочий в сфере общего образования в муниципальных дошкольных образовательных организациях </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</si>
  <si>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 Российской Федерации от 29.12.2012 № 273-ФЗ "Об образовании в Российской Федерации"</t>
  </si>
  <si>
    <t xml:space="preserve">1) ст. 29, п. 6.1
2) ст. 26.3, п.2, п.п. 13                             
3) гл.7, гл. 10
</t>
  </si>
  <si>
    <t xml:space="preserve">1) 10.07.1992, 31.08.2013
2) 06.10.1999, не установлен
3) 01.09.2013,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</si>
  <si>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</si>
  <si>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 xml:space="preserve">1) ст. 6, п. 1                                                                                                                                                                                                                                                                                                                                                                                                                                                                                                                                                                                                                                                                                                    
2) ст. 2, ст. 3
3) полностью </t>
  </si>
  <si>
    <t>1) 21.10.2005, не установлен
2)10.12.2004, 31.12.2013
3) 01.01.2014, не установлен</t>
  </si>
  <si>
    <t>07</t>
  </si>
  <si>
    <t>3.1.6.Субвенции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</si>
  <si>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ст. 19, п. 5</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</si>
  <si>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</si>
  <si>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</si>
  <si>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</si>
  <si>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09</t>
  </si>
  <si>
    <t xml:space="preserve">3.1.7 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</si>
  <si>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ст. 20</t>
  </si>
  <si>
    <t>06.10.2003,
не установлен</t>
  </si>
  <si>
    <t xml:space="preserve">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t>
  </si>
  <si>
    <t>0</t>
  </si>
  <si>
    <t>3.1.8 Субвенции на исполнение полномочий в сфере общего образования в муниципальных общеобразовательных организациях</t>
  </si>
  <si>
    <t xml:space="preserve">1) ст. 29, п. 6.1
2) ст. 26.3, п.2, п.п. 13
3) гл.7, гл. 10
</t>
  </si>
  <si>
    <t>1) ст. 6, п. 1
2) ст. 2, ст. 3
                                                                                                                                                                                                                                                                                                                                                                                                                                                                                                                                                                                                               3) полностью</t>
  </si>
  <si>
    <t xml:space="preserve">3.1.9 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</si>
  <si>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 Закон Российской Федерации от 10.07.1992 № 3266-1 "Об образовании"                                                               2) Закон Российской Федерации от 29.12.2012 № 273-ФЗ "Об образовании в Российской Федерации"</t>
  </si>
  <si>
    <t>ст. 52.2, п. 3</t>
  </si>
  <si>
    <t>1) 10.07.1992,
31.12.2013
2) 01.09.2013, не установлен</t>
  </si>
  <si>
    <t>1)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                                                                                           2) Постановление Правительства Нижегородской области от 31.12.2013 №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</si>
  <si>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1) ст. 1, ст. 5                                                                                                                                                                                                                                                                                                                                                                                                                                                                                                                                                                                                                                                                                                                                                                                                                                                                   2) полностью                                                                                                                                                                                                                                                                                                                                                                                                                                                                                                                                                                                                                                                                                                                                                                                                                                                                                                                                                                                                                                                                                                                                                                                                                                                                                                                                                                                                                                                                                                                                                                                                                                                                                                                                                                                                                                                                                                                                                                                                                                                                                                                                                                                                                                                                                                                                                                                                                                                                                                                                                                                                                                                                                                                                                                                                                                                                                                                                                                                                                                                                                                                                                                                                                                                                                                                                                                                                                                                                                                                                                                                                                                                                                                                 </t>
  </si>
  <si>
    <t>1) 07.09.2007, 
02.02.2014
2) 24.01.2014,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</si>
  <si>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</si>
  <si>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</si>
  <si>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</si>
  <si>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</si>
  <si>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</si>
  <si>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</si>
  <si>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3.1.17 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</si>
  <si>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3.1.48 Расходы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</si>
  <si>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07
07</t>
  </si>
  <si>
    <t>01
02</t>
  </si>
  <si>
    <t>3.1.49 Расходы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</si>
  <si>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3.1.60 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основного общего и среднего общего образования, в том числе адаптированные основные общеобразовательные программы</t>
  </si>
  <si>
    <t>3.1.61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t>
  </si>
  <si>
    <t>3.1.51.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</si>
</sst>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 mmmm\ yyyy\ &quot;г.&quot;"/>
    <numFmt numFmtId="174" formatCode="0.000"/>
    <numFmt numFmtId="175" formatCode="#,##0.0"/>
  </numFmts>
  <fonts count="51">
    <font>
      <sz val="10"/>
      <name val="Arial Cyr"/>
      <family val="0"/>
    </font>
    <font>
      <sz val="10"/>
      <name val="Times New Roman"/>
      <family val="1"/>
    </font>
    <font>
      <sz val="8"/>
      <name val="Times New Roman"/>
      <family val="1"/>
    </font>
    <font>
      <sz val="8"/>
      <name val="Arial Cyr"/>
      <family val="0"/>
    </font>
    <font>
      <b/>
      <sz val="8"/>
      <name val="Times New Roman"/>
      <family val="1"/>
    </font>
    <font>
      <b/>
      <sz val="10"/>
      <name val="Times New Roman"/>
      <family val="1"/>
    </font>
    <font>
      <b/>
      <sz val="10"/>
      <name val="Arial Cyr"/>
      <family val="0"/>
    </font>
    <font>
      <sz val="10"/>
      <color indexed="8"/>
      <name val="Times New Roman"/>
      <family val="1"/>
    </font>
    <font>
      <sz val="12"/>
      <name val="Times New Roman"/>
      <family val="1"/>
    </font>
    <font>
      <sz val="12"/>
      <name val="Arial Cyr"/>
      <family val="0"/>
    </font>
    <font>
      <sz val="8"/>
      <color indexed="8"/>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11"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87">
    <xf numFmtId="0" fontId="0" fillId="0" borderId="0" xfId="0" applyAlignment="1">
      <alignment/>
    </xf>
    <xf numFmtId="49" fontId="1" fillId="0" borderId="10" xfId="0" applyNumberFormat="1" applyFont="1" applyFill="1" applyBorder="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1" fillId="0" borderId="1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0" borderId="0" xfId="0" applyFont="1" applyFill="1" applyAlignment="1">
      <alignment vertical="center"/>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vertical="center" wrapText="1"/>
    </xf>
    <xf numFmtId="49" fontId="1" fillId="0" borderId="0" xfId="0" applyNumberFormat="1" applyFont="1" applyFill="1" applyBorder="1" applyAlignment="1">
      <alignment horizontal="center" vertical="center"/>
    </xf>
    <xf numFmtId="0" fontId="0" fillId="0" borderId="0" xfId="0" applyFont="1" applyFill="1" applyAlignment="1">
      <alignment horizontal="center" vertical="center" wrapText="1"/>
    </xf>
    <xf numFmtId="0" fontId="6" fillId="0" borderId="0" xfId="0" applyFont="1" applyFill="1" applyAlignment="1">
      <alignment vertical="center"/>
    </xf>
    <xf numFmtId="49" fontId="1" fillId="0" borderId="0" xfId="0" applyNumberFormat="1" applyFont="1" applyFill="1" applyBorder="1" applyAlignment="1">
      <alignment vertical="center"/>
    </xf>
    <xf numFmtId="172" fontId="5" fillId="0" borderId="10" xfId="0" applyNumberFormat="1" applyFont="1" applyFill="1" applyBorder="1" applyAlignment="1">
      <alignment horizontal="center" vertical="center"/>
    </xf>
    <xf numFmtId="172" fontId="1" fillId="0"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xf>
    <xf numFmtId="172" fontId="1" fillId="0" borderId="11"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172" fontId="1" fillId="0" borderId="10" xfId="0" applyNumberFormat="1" applyFont="1" applyFill="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3" fillId="0" borderId="0" xfId="0" applyFont="1" applyFill="1" applyAlignment="1">
      <alignment horizontal="center" vertical="center"/>
    </xf>
    <xf numFmtId="49" fontId="0" fillId="33" borderId="0" xfId="0" applyNumberFormat="1"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49" fontId="1" fillId="33" borderId="0" xfId="0" applyNumberFormat="1" applyFont="1" applyFill="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9" fontId="1" fillId="19" borderId="14" xfId="0" applyNumberFormat="1" applyFont="1" applyFill="1" applyBorder="1" applyAlignment="1">
      <alignment horizontal="center" vertical="center"/>
    </xf>
    <xf numFmtId="49" fontId="2" fillId="19" borderId="14" xfId="0" applyNumberFormat="1" applyFont="1" applyFill="1" applyBorder="1" applyAlignment="1">
      <alignment horizontal="center" vertical="center"/>
    </xf>
    <xf numFmtId="49" fontId="1" fillId="19" borderId="15" xfId="0" applyNumberFormat="1" applyFont="1" applyFill="1" applyBorder="1" applyAlignment="1">
      <alignment horizontal="center" vertical="center"/>
    </xf>
    <xf numFmtId="49" fontId="1" fillId="19" borderId="16" xfId="0" applyNumberFormat="1" applyFont="1" applyFill="1" applyBorder="1" applyAlignment="1">
      <alignment horizontal="center" vertical="center"/>
    </xf>
    <xf numFmtId="49" fontId="1" fillId="19" borderId="17" xfId="0" applyNumberFormat="1" applyFont="1" applyFill="1" applyBorder="1" applyAlignment="1">
      <alignment horizontal="center" vertical="center"/>
    </xf>
    <xf numFmtId="49" fontId="1" fillId="19" borderId="18" xfId="0" applyNumberFormat="1" applyFont="1" applyFill="1" applyBorder="1" applyAlignment="1">
      <alignment horizontal="center" vertical="center"/>
    </xf>
    <xf numFmtId="49" fontId="1" fillId="19" borderId="19" xfId="0" applyNumberFormat="1" applyFont="1" applyFill="1" applyBorder="1" applyAlignment="1">
      <alignment horizontal="center" vertical="center"/>
    </xf>
    <xf numFmtId="49" fontId="1" fillId="19" borderId="11" xfId="0" applyNumberFormat="1" applyFont="1" applyFill="1" applyBorder="1" applyAlignment="1">
      <alignment horizontal="center" vertical="center"/>
    </xf>
    <xf numFmtId="49" fontId="2" fillId="19" borderId="19" xfId="0" applyNumberFormat="1" applyFont="1" applyFill="1" applyBorder="1" applyAlignment="1">
      <alignment horizontal="center" vertical="center"/>
    </xf>
    <xf numFmtId="49" fontId="1" fillId="19" borderId="20" xfId="0" applyNumberFormat="1" applyFont="1" applyFill="1" applyBorder="1" applyAlignment="1">
      <alignment horizontal="center" vertical="center"/>
    </xf>
    <xf numFmtId="0" fontId="1" fillId="19" borderId="11" xfId="0" applyFont="1" applyFill="1" applyBorder="1" applyAlignment="1">
      <alignment horizontal="center" vertical="center"/>
    </xf>
    <xf numFmtId="0" fontId="2" fillId="19" borderId="11" xfId="0" applyFont="1" applyFill="1" applyBorder="1" applyAlignment="1">
      <alignment horizontal="center" vertical="center"/>
    </xf>
    <xf numFmtId="49" fontId="1" fillId="19" borderId="21" xfId="0" applyNumberFormat="1" applyFont="1" applyFill="1" applyBorder="1" applyAlignment="1">
      <alignment horizontal="center" vertical="center"/>
    </xf>
    <xf numFmtId="49" fontId="1" fillId="0" borderId="10" xfId="0" applyNumberFormat="1" applyFont="1" applyFill="1" applyBorder="1" applyAlignment="1" applyProtection="1">
      <alignment horizontal="center" vertical="center" wrapText="1" shrinkToFit="1"/>
      <protection locked="0"/>
    </xf>
    <xf numFmtId="175" fontId="1" fillId="33" borderId="10" xfId="0" applyNumberFormat="1" applyFont="1" applyFill="1" applyBorder="1" applyAlignment="1">
      <alignment horizontal="center" vertical="center"/>
    </xf>
    <xf numFmtId="175" fontId="1" fillId="33" borderId="10" xfId="0" applyNumberFormat="1" applyFont="1" applyFill="1" applyBorder="1" applyAlignment="1" applyProtection="1">
      <alignment horizontal="center" vertical="center" wrapText="1" shrinkToFit="1"/>
      <protection locked="0"/>
    </xf>
    <xf numFmtId="175" fontId="1"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left" vertical="center" wrapText="1" shrinkToFit="1"/>
      <protection locked="0"/>
    </xf>
    <xf numFmtId="0" fontId="1" fillId="19" borderId="10" xfId="0" applyFont="1" applyFill="1" applyBorder="1" applyAlignment="1">
      <alignment horizontal="center" vertical="center"/>
    </xf>
    <xf numFmtId="0" fontId="2" fillId="19" borderId="10" xfId="0" applyFont="1" applyFill="1" applyBorder="1" applyAlignment="1">
      <alignment horizontal="center" vertical="center"/>
    </xf>
    <xf numFmtId="172" fontId="5" fillId="19" borderId="10" xfId="0" applyNumberFormat="1" applyFont="1" applyFill="1" applyBorder="1" applyAlignment="1">
      <alignment horizontal="center" vertical="center"/>
    </xf>
    <xf numFmtId="0" fontId="1" fillId="0" borderId="0" xfId="0" applyFont="1" applyBorder="1" applyAlignment="1">
      <alignment vertical="center" wrapText="1"/>
    </xf>
    <xf numFmtId="0" fontId="2" fillId="0" borderId="10" xfId="0" applyFont="1" applyBorder="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xf>
    <xf numFmtId="49" fontId="5" fillId="19" borderId="11" xfId="0" applyNumberFormat="1" applyFont="1" applyFill="1" applyBorder="1" applyAlignment="1">
      <alignment horizontal="center" vertical="center"/>
    </xf>
    <xf numFmtId="175" fontId="5" fillId="0" borderId="10"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175" fontId="5" fillId="33" borderId="10"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49" fontId="5" fillId="19" borderId="16" xfId="0" applyNumberFormat="1" applyFont="1" applyFill="1" applyBorder="1" applyAlignment="1">
      <alignment horizontal="center" vertical="center"/>
    </xf>
    <xf numFmtId="172" fontId="6" fillId="0" borderId="0" xfId="0" applyNumberFormat="1" applyFont="1" applyFill="1" applyAlignment="1">
      <alignment vertical="center"/>
    </xf>
    <xf numFmtId="49" fontId="5" fillId="19" borderId="17"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19" borderId="10" xfId="0" applyNumberFormat="1" applyFont="1" applyFill="1" applyBorder="1" applyAlignment="1">
      <alignment horizontal="center" vertical="center"/>
    </xf>
    <xf numFmtId="49" fontId="1" fillId="19" borderId="20" xfId="0" applyNumberFormat="1" applyFont="1" applyFill="1" applyBorder="1" applyAlignment="1">
      <alignment horizontal="center" vertical="center"/>
    </xf>
    <xf numFmtId="49" fontId="1" fillId="19" borderId="16" xfId="0" applyNumberFormat="1" applyFont="1" applyFill="1" applyBorder="1" applyAlignment="1">
      <alignment horizontal="center" vertical="center"/>
    </xf>
    <xf numFmtId="2" fontId="5" fillId="33" borderId="11" xfId="0" applyNumberFormat="1" applyFont="1" applyFill="1" applyBorder="1" applyAlignment="1" applyProtection="1">
      <alignment horizontal="center" vertical="center" wrapText="1" shrinkToFit="1"/>
      <protection locked="0"/>
    </xf>
    <xf numFmtId="2" fontId="5" fillId="33" borderId="10" xfId="0" applyNumberFormat="1" applyFont="1" applyFill="1" applyBorder="1" applyAlignment="1" applyProtection="1">
      <alignment horizontal="center" vertical="center" wrapText="1" shrinkToFit="1"/>
      <protection locked="0"/>
    </xf>
    <xf numFmtId="2" fontId="1" fillId="33" borderId="10" xfId="0" applyNumberFormat="1" applyFont="1" applyFill="1" applyBorder="1" applyAlignment="1" applyProtection="1">
      <alignment horizontal="center" vertical="center" wrapText="1" shrinkToFit="1"/>
      <protection locked="0"/>
    </xf>
    <xf numFmtId="49" fontId="1" fillId="0" borderId="10" xfId="0" applyNumberFormat="1" applyFont="1" applyFill="1" applyBorder="1" applyAlignment="1">
      <alignment horizontal="center"/>
    </xf>
    <xf numFmtId="172" fontId="1" fillId="0"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5"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172" fontId="1" fillId="0" borderId="10" xfId="0" applyNumberFormat="1" applyFont="1" applyBorder="1" applyAlignment="1">
      <alignment horizontal="center" wrapText="1"/>
    </xf>
    <xf numFmtId="172" fontId="50" fillId="0" borderId="10" xfId="0" applyNumberFormat="1" applyFont="1" applyFill="1" applyBorder="1" applyAlignment="1">
      <alignment horizontal="center" wrapText="1"/>
    </xf>
    <xf numFmtId="172" fontId="5" fillId="33" borderId="10" xfId="0" applyNumberFormat="1" applyFont="1" applyFill="1" applyBorder="1" applyAlignment="1">
      <alignment horizontal="center" wrapText="1"/>
    </xf>
    <xf numFmtId="172" fontId="1" fillId="33" borderId="10" xfId="0" applyNumberFormat="1" applyFont="1" applyFill="1" applyBorder="1" applyAlignment="1">
      <alignment horizontal="center" wrapText="1"/>
    </xf>
    <xf numFmtId="0" fontId="1" fillId="33" borderId="10" xfId="0" applyFont="1" applyFill="1" applyBorder="1" applyAlignment="1">
      <alignment vertical="center" wrapText="1"/>
    </xf>
    <xf numFmtId="172" fontId="1" fillId="0" borderId="10" xfId="0" applyNumberFormat="1" applyFont="1" applyBorder="1" applyAlignment="1">
      <alignment vertical="center" wrapText="1"/>
    </xf>
    <xf numFmtId="172" fontId="50" fillId="0" borderId="10" xfId="0" applyNumberFormat="1" applyFont="1" applyFill="1" applyBorder="1" applyAlignment="1">
      <alignment horizontal="center"/>
    </xf>
    <xf numFmtId="2" fontId="1" fillId="33" borderId="10" xfId="0" applyNumberFormat="1" applyFont="1" applyFill="1" applyBorder="1" applyAlignment="1">
      <alignment horizontal="center"/>
    </xf>
    <xf numFmtId="172" fontId="50" fillId="33" borderId="10" xfId="0" applyNumberFormat="1" applyFont="1" applyFill="1" applyBorder="1" applyAlignment="1">
      <alignment horizontal="center"/>
    </xf>
    <xf numFmtId="172" fontId="1" fillId="0" borderId="10" xfId="0" applyNumberFormat="1" applyFont="1" applyFill="1" applyBorder="1" applyAlignment="1">
      <alignment horizontal="center" wrapText="1"/>
    </xf>
    <xf numFmtId="172" fontId="5" fillId="0" borderId="10" xfId="0" applyNumberFormat="1" applyFont="1" applyFill="1" applyBorder="1" applyAlignment="1">
      <alignment horizontal="center" wrapText="1"/>
    </xf>
    <xf numFmtId="49" fontId="1" fillId="33" borderId="10" xfId="59" applyNumberFormat="1" applyFont="1" applyFill="1" applyBorder="1" applyAlignment="1" applyProtection="1">
      <alignment horizontal="center" vertical="center" wrapText="1" shrinkToFit="1"/>
      <protection locked="0"/>
    </xf>
    <xf numFmtId="49" fontId="1" fillId="33" borderId="10" xfId="0" applyNumberFormat="1" applyFont="1" applyFill="1" applyBorder="1" applyAlignment="1" applyProtection="1">
      <alignment horizontal="center" vertical="center" wrapText="1" shrinkToFit="1"/>
      <protection locked="0"/>
    </xf>
    <xf numFmtId="49" fontId="1" fillId="0" borderId="10" xfId="0" applyNumberFormat="1" applyFont="1" applyFill="1" applyBorder="1" applyAlignment="1">
      <alignment horizontal="center" wrapText="1"/>
    </xf>
    <xf numFmtId="49" fontId="7" fillId="33" borderId="10" xfId="0" applyNumberFormat="1" applyFont="1" applyFill="1" applyBorder="1" applyAlignment="1" applyProtection="1">
      <alignment horizontal="center" vertical="center" wrapText="1" shrinkToFit="1"/>
      <protection locked="0"/>
    </xf>
    <xf numFmtId="49" fontId="1" fillId="0" borderId="10" xfId="0" applyNumberFormat="1" applyFont="1" applyBorder="1" applyAlignment="1">
      <alignment vertical="center" wrapText="1"/>
    </xf>
    <xf numFmtId="49" fontId="1" fillId="34" borderId="10" xfId="0" applyNumberFormat="1" applyFont="1" applyFill="1" applyBorder="1" applyAlignment="1">
      <alignment horizontal="center"/>
    </xf>
    <xf numFmtId="0" fontId="2" fillId="33" borderId="10" xfId="0" applyNumberFormat="1" applyFont="1" applyFill="1" applyBorder="1" applyAlignment="1" applyProtection="1">
      <alignment horizontal="left" vertical="center" wrapText="1" shrinkToFit="1"/>
      <protection locked="0"/>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10" fillId="0" borderId="10" xfId="0" applyNumberFormat="1" applyFont="1" applyFill="1" applyBorder="1" applyAlignment="1" applyProtection="1">
      <alignment horizontal="left" vertical="center" wrapText="1" shrinkToFit="1"/>
      <protection locked="0"/>
    </xf>
    <xf numFmtId="49" fontId="10" fillId="33" borderId="10" xfId="0" applyNumberFormat="1" applyFont="1" applyFill="1" applyBorder="1" applyAlignment="1" applyProtection="1">
      <alignment horizontal="left" vertical="center" wrapText="1" shrinkToFit="1"/>
      <protection locked="0"/>
    </xf>
    <xf numFmtId="0" fontId="2" fillId="33" borderId="11" xfId="0" applyNumberFormat="1" applyFont="1" applyFill="1" applyBorder="1" applyAlignment="1">
      <alignment horizontal="left" vertical="center" wrapText="1"/>
    </xf>
    <xf numFmtId="0" fontId="2" fillId="33" borderId="10" xfId="0" applyNumberFormat="1" applyFont="1" applyFill="1" applyBorder="1" applyAlignment="1" applyProtection="1">
      <alignment horizontal="left" vertical="center" wrapText="1"/>
      <protection locked="0"/>
    </xf>
    <xf numFmtId="14" fontId="2" fillId="33" borderId="10" xfId="59" applyNumberFormat="1" applyFont="1" applyFill="1" applyBorder="1" applyAlignment="1" applyProtection="1">
      <alignment horizontal="left" vertical="center" wrapText="1"/>
      <protection locked="0"/>
    </xf>
    <xf numFmtId="49" fontId="2" fillId="0" borderId="10" xfId="0" applyNumberFormat="1" applyFont="1" applyFill="1" applyBorder="1" applyAlignment="1">
      <alignment horizontal="left" vertical="center"/>
    </xf>
    <xf numFmtId="0" fontId="2" fillId="0" borderId="11"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14" fontId="2" fillId="33" borderId="10" xfId="0" applyNumberFormat="1" applyFont="1" applyFill="1" applyBorder="1" applyAlignment="1" applyProtection="1">
      <alignment horizontal="left" vertical="center" wrapText="1" shrinkToFit="1"/>
      <protection locked="0"/>
    </xf>
    <xf numFmtId="49"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center"/>
    </xf>
    <xf numFmtId="0" fontId="2" fillId="33" borderId="10" xfId="0" applyFont="1" applyFill="1" applyBorder="1" applyAlignment="1">
      <alignment horizontal="left" vertical="center"/>
    </xf>
    <xf numFmtId="49" fontId="2" fillId="33" borderId="11" xfId="0" applyNumberFormat="1" applyFont="1" applyFill="1" applyBorder="1" applyAlignment="1">
      <alignment horizontal="left" vertical="center"/>
    </xf>
    <xf numFmtId="14" fontId="2" fillId="33" borderId="10" xfId="0" applyNumberFormat="1" applyFont="1" applyFill="1" applyBorder="1" applyAlignment="1">
      <alignment horizontal="left" vertical="center"/>
    </xf>
    <xf numFmtId="0" fontId="2" fillId="0" borderId="11" xfId="0" applyFont="1" applyFill="1" applyBorder="1" applyAlignment="1">
      <alignment horizontal="left" vertical="center" wrapText="1"/>
    </xf>
    <xf numFmtId="14" fontId="2" fillId="0" borderId="11" xfId="0" applyNumberFormat="1" applyFont="1" applyFill="1" applyBorder="1" applyAlignment="1">
      <alignment horizontal="left" vertical="center" wrapText="1"/>
    </xf>
    <xf numFmtId="0" fontId="2" fillId="33" borderId="11" xfId="0" applyFont="1" applyFill="1" applyBorder="1" applyAlignment="1">
      <alignment horizontal="left" vertical="center"/>
    </xf>
    <xf numFmtId="49" fontId="2" fillId="33" borderId="11"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49" fontId="2" fillId="33" borderId="10" xfId="0" applyNumberFormat="1" applyFont="1" applyFill="1" applyBorder="1" applyAlignment="1">
      <alignment horizontal="left" vertical="center"/>
    </xf>
    <xf numFmtId="14" fontId="2" fillId="0" borderId="10" xfId="0" applyNumberFormat="1" applyFont="1" applyFill="1" applyBorder="1" applyAlignment="1" applyProtection="1">
      <alignment horizontal="left" vertical="center" wrapText="1" shrinkToFit="1"/>
      <protection locked="0"/>
    </xf>
    <xf numFmtId="0" fontId="2" fillId="0" borderId="10" xfId="59" applyNumberFormat="1" applyFont="1" applyFill="1" applyBorder="1" applyAlignment="1" applyProtection="1">
      <alignment horizontal="left" vertical="center" wrapText="1" shrinkToFit="1"/>
      <protection locked="0"/>
    </xf>
    <xf numFmtId="14" fontId="2" fillId="0" borderId="10" xfId="59"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0" borderId="22" xfId="0" applyFont="1" applyFill="1" applyBorder="1" applyAlignment="1">
      <alignment horizontal="left" vertical="center" wrapText="1"/>
    </xf>
    <xf numFmtId="171" fontId="2" fillId="33" borderId="10" xfId="61" applyFont="1" applyFill="1" applyBorder="1" applyAlignment="1">
      <alignment horizontal="left" vertical="center" wrapText="1"/>
    </xf>
    <xf numFmtId="0" fontId="4" fillId="0" borderId="22"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2" xfId="0" applyFont="1" applyBorder="1" applyAlignment="1">
      <alignment horizontal="left" vertical="center" wrapText="1"/>
    </xf>
    <xf numFmtId="49" fontId="10" fillId="33" borderId="10"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19"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5" fillId="0" borderId="10" xfId="0" applyNumberFormat="1" applyFont="1" applyFill="1" applyBorder="1" applyAlignment="1">
      <alignment horizontal="center" vertical="center"/>
    </xf>
    <xf numFmtId="172" fontId="1" fillId="0" borderId="10" xfId="0" applyNumberFormat="1" applyFont="1" applyBorder="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19" borderId="11" xfId="0" applyFont="1" applyFill="1" applyBorder="1" applyAlignment="1">
      <alignment horizontal="center" vertical="center" wrapText="1"/>
    </xf>
    <xf numFmtId="0" fontId="1" fillId="19" borderId="19" xfId="0" applyFont="1" applyFill="1" applyBorder="1" applyAlignment="1">
      <alignment horizontal="center" vertical="center" wrapText="1"/>
    </xf>
    <xf numFmtId="0" fontId="1" fillId="19" borderId="15" xfId="0" applyFont="1" applyFill="1" applyBorder="1" applyAlignment="1">
      <alignment horizontal="center" vertical="center" wrapText="1"/>
    </xf>
    <xf numFmtId="49" fontId="1" fillId="19" borderId="23" xfId="0" applyNumberFormat="1" applyFont="1" applyFill="1" applyBorder="1" applyAlignment="1">
      <alignment horizontal="center" vertical="center"/>
    </xf>
    <xf numFmtId="49" fontId="1" fillId="19" borderId="12" xfId="0" applyNumberFormat="1" applyFont="1" applyFill="1" applyBorder="1" applyAlignment="1">
      <alignment horizontal="center" vertical="center"/>
    </xf>
    <xf numFmtId="49" fontId="1" fillId="19" borderId="21" xfId="0" applyNumberFormat="1" applyFont="1" applyFill="1" applyBorder="1" applyAlignment="1">
      <alignment horizontal="center" vertical="center"/>
    </xf>
    <xf numFmtId="49" fontId="1" fillId="19" borderId="23" xfId="0" applyNumberFormat="1" applyFont="1" applyFill="1" applyBorder="1" applyAlignment="1">
      <alignment horizontal="center" vertical="center" wrapText="1"/>
    </xf>
    <xf numFmtId="49" fontId="1" fillId="19" borderId="21" xfId="0" applyNumberFormat="1" applyFont="1" applyFill="1" applyBorder="1" applyAlignment="1">
      <alignment horizontal="center" vertical="center" wrapText="1"/>
    </xf>
    <xf numFmtId="49" fontId="1" fillId="19" borderId="20" xfId="0" applyNumberFormat="1" applyFont="1" applyFill="1" applyBorder="1" applyAlignment="1">
      <alignment horizontal="center" vertical="center" wrapText="1"/>
    </xf>
    <xf numFmtId="49" fontId="1" fillId="19" borderId="14" xfId="0" applyNumberFormat="1" applyFont="1" applyFill="1" applyBorder="1" applyAlignment="1">
      <alignment horizontal="center" vertical="center" wrapText="1"/>
    </xf>
    <xf numFmtId="49" fontId="1" fillId="19" borderId="16" xfId="0" applyNumberFormat="1" applyFont="1" applyFill="1" applyBorder="1" applyAlignment="1">
      <alignment horizontal="center" vertical="center" wrapText="1"/>
    </xf>
    <xf numFmtId="49" fontId="1" fillId="19" borderId="18" xfId="0" applyNumberFormat="1" applyFont="1" applyFill="1" applyBorder="1" applyAlignment="1">
      <alignment horizontal="center" vertical="center" wrapText="1"/>
    </xf>
    <xf numFmtId="49" fontId="1" fillId="19" borderId="10" xfId="0" applyNumberFormat="1" applyFont="1" applyFill="1" applyBorder="1" applyAlignment="1">
      <alignment horizontal="center" vertical="center"/>
    </xf>
    <xf numFmtId="49" fontId="1" fillId="19" borderId="16" xfId="0" applyNumberFormat="1" applyFont="1" applyFill="1" applyBorder="1" applyAlignment="1">
      <alignment horizontal="center" vertical="center"/>
    </xf>
    <xf numFmtId="49" fontId="1" fillId="19" borderId="17" xfId="0" applyNumberFormat="1" applyFont="1" applyFill="1" applyBorder="1" applyAlignment="1">
      <alignment horizontal="center" vertical="center"/>
    </xf>
    <xf numFmtId="49" fontId="1" fillId="19" borderId="18" xfId="0" applyNumberFormat="1" applyFont="1" applyFill="1" applyBorder="1" applyAlignment="1">
      <alignment horizontal="center" vertical="center"/>
    </xf>
    <xf numFmtId="0" fontId="8" fillId="0" borderId="0" xfId="0" applyFont="1" applyFill="1" applyAlignment="1">
      <alignment horizontal="left" vertical="center" wrapText="1"/>
    </xf>
    <xf numFmtId="0" fontId="9" fillId="0" borderId="0" xfId="0" applyFont="1" applyAlignment="1">
      <alignment horizontal="left" vertical="center" wrapText="1"/>
    </xf>
    <xf numFmtId="49" fontId="1" fillId="19" borderId="22" xfId="0" applyNumberFormat="1" applyFont="1" applyFill="1" applyBorder="1" applyAlignment="1">
      <alignment horizontal="center" vertical="center"/>
    </xf>
    <xf numFmtId="49" fontId="1" fillId="19" borderId="24" xfId="0" applyNumberFormat="1" applyFont="1" applyFill="1" applyBorder="1" applyAlignment="1">
      <alignment horizontal="center" vertical="center"/>
    </xf>
    <xf numFmtId="49" fontId="1" fillId="19" borderId="25" xfId="0" applyNumberFormat="1" applyFont="1" applyFill="1" applyBorder="1" applyAlignment="1">
      <alignment horizontal="center" vertical="center"/>
    </xf>
    <xf numFmtId="49" fontId="2" fillId="19" borderId="22" xfId="0" applyNumberFormat="1" applyFont="1" applyFill="1" applyBorder="1" applyAlignment="1">
      <alignment horizontal="center" vertical="center" wrapText="1"/>
    </xf>
    <xf numFmtId="49" fontId="2" fillId="19" borderId="24" xfId="0" applyNumberFormat="1" applyFont="1" applyFill="1" applyBorder="1" applyAlignment="1">
      <alignment horizontal="center" vertical="center" wrapText="1"/>
    </xf>
    <xf numFmtId="49" fontId="2" fillId="19" borderId="25" xfId="0" applyNumberFormat="1" applyFont="1" applyFill="1" applyBorder="1" applyAlignment="1">
      <alignment horizontal="center" vertical="center" wrapText="1"/>
    </xf>
    <xf numFmtId="49" fontId="1" fillId="19" borderId="11" xfId="0" applyNumberFormat="1" applyFont="1" applyFill="1" applyBorder="1" applyAlignment="1">
      <alignment horizontal="center" vertical="center" wrapText="1"/>
    </xf>
    <xf numFmtId="49" fontId="1" fillId="19" borderId="19" xfId="0" applyNumberFormat="1" applyFont="1" applyFill="1" applyBorder="1" applyAlignment="1">
      <alignment horizontal="center" vertical="center" wrapText="1"/>
    </xf>
    <xf numFmtId="49" fontId="1" fillId="19" borderId="15" xfId="0" applyNumberFormat="1" applyFont="1" applyFill="1" applyBorder="1" applyAlignment="1">
      <alignment horizontal="center" vertical="center" wrapText="1"/>
    </xf>
    <xf numFmtId="49" fontId="1" fillId="19" borderId="20" xfId="0" applyNumberFormat="1" applyFont="1" applyFill="1" applyBorder="1" applyAlignment="1">
      <alignment horizontal="center" vertical="center"/>
    </xf>
    <xf numFmtId="49" fontId="1" fillId="19" borderId="0" xfId="0" applyNumberFormat="1" applyFont="1" applyFill="1" applyBorder="1" applyAlignment="1">
      <alignment horizontal="center" vertical="center"/>
    </xf>
    <xf numFmtId="49" fontId="1" fillId="19" borderId="14" xfId="0" applyNumberFormat="1" applyFont="1" applyFill="1" applyBorder="1" applyAlignment="1">
      <alignment horizontal="center" vertical="center"/>
    </xf>
    <xf numFmtId="2" fontId="5" fillId="0" borderId="10"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75" fontId="5" fillId="33" borderId="11" xfId="0" applyNumberFormat="1" applyFont="1" applyFill="1" applyBorder="1" applyAlignment="1" applyProtection="1">
      <alignment horizontal="center" vertical="center" wrapText="1" shrinkToFit="1"/>
      <protection locked="0"/>
    </xf>
    <xf numFmtId="175" fontId="5" fillId="33" borderId="10"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
  <sheetViews>
    <sheetView tabSelected="1" view="pageBreakPreview" zoomScale="60" workbookViewId="0" topLeftCell="A92">
      <selection activeCell="A98" sqref="A98:IV1362"/>
    </sheetView>
  </sheetViews>
  <sheetFormatPr defaultColWidth="38.625" defaultRowHeight="12.75"/>
  <cols>
    <col min="1" max="1" width="32.75390625" style="11" customWidth="1"/>
    <col min="2" max="2" width="24.875" style="11" customWidth="1"/>
    <col min="3" max="3" width="8.625" style="11" customWidth="1"/>
    <col min="4" max="4" width="10.00390625" style="11" customWidth="1"/>
    <col min="5" max="5" width="55.25390625" style="5" customWidth="1"/>
    <col min="6" max="6" width="11.75390625" style="29" customWidth="1"/>
    <col min="7" max="7" width="13.00390625" style="29" customWidth="1"/>
    <col min="8" max="8" width="7.00390625" style="30" customWidth="1"/>
    <col min="9" max="9" width="7.25390625" style="31" customWidth="1"/>
    <col min="10" max="10" width="11.375" style="31" customWidth="1"/>
    <col min="11" max="11" width="10.625" style="31" customWidth="1"/>
    <col min="12" max="12" width="10.25390625" style="31" customWidth="1"/>
    <col min="13" max="13" width="10.25390625" style="71" customWidth="1"/>
    <col min="14" max="14" width="10.375" style="31" customWidth="1"/>
    <col min="15" max="15" width="7.00390625" style="31" customWidth="1"/>
    <col min="16" max="16" width="10.25390625" style="71" customWidth="1"/>
    <col min="17" max="17" width="9.625" style="31" customWidth="1"/>
    <col min="18" max="18" width="7.75390625" style="31" customWidth="1"/>
    <col min="19" max="19" width="12.25390625" style="71" customWidth="1"/>
    <col min="20" max="20" width="9.75390625" style="31" customWidth="1"/>
    <col min="21" max="21" width="7.00390625" style="31" customWidth="1"/>
    <col min="22" max="16384" width="38.625" style="11" customWidth="1"/>
  </cols>
  <sheetData>
    <row r="1" spans="10:22" ht="22.5" customHeight="1">
      <c r="J1" s="151"/>
      <c r="K1" s="151"/>
      <c r="L1" s="151"/>
      <c r="M1" s="151"/>
      <c r="N1" s="151"/>
      <c r="O1" s="151"/>
      <c r="P1" s="151"/>
      <c r="Q1" s="151"/>
      <c r="R1" s="151"/>
      <c r="S1" s="151"/>
      <c r="T1" s="151"/>
      <c r="U1" s="151"/>
      <c r="V1" s="18"/>
    </row>
    <row r="2" spans="10:21" ht="3" customHeight="1">
      <c r="J2" s="17"/>
      <c r="K2" s="17"/>
      <c r="L2" s="17"/>
      <c r="M2" s="62"/>
      <c r="N2" s="17"/>
      <c r="O2" s="17"/>
      <c r="P2" s="62"/>
      <c r="Q2" s="17"/>
      <c r="R2" s="17"/>
      <c r="S2" s="62"/>
      <c r="T2" s="17"/>
      <c r="U2" s="17"/>
    </row>
    <row r="3" spans="1:21" ht="12.75">
      <c r="A3" s="152" t="s">
        <v>323</v>
      </c>
      <c r="B3" s="152"/>
      <c r="C3" s="152"/>
      <c r="D3" s="152"/>
      <c r="E3" s="152"/>
      <c r="F3" s="152"/>
      <c r="G3" s="152"/>
      <c r="H3" s="152"/>
      <c r="I3" s="152"/>
      <c r="J3" s="152"/>
      <c r="K3" s="152"/>
      <c r="L3" s="152"/>
      <c r="M3" s="152"/>
      <c r="N3" s="152"/>
      <c r="O3" s="152"/>
      <c r="P3" s="152"/>
      <c r="Q3" s="152"/>
      <c r="R3" s="152"/>
      <c r="S3" s="152"/>
      <c r="T3" s="152"/>
      <c r="U3" s="152"/>
    </row>
    <row r="4" spans="1:21" ht="6" customHeight="1">
      <c r="A4" s="12"/>
      <c r="B4" s="12"/>
      <c r="C4" s="12"/>
      <c r="D4" s="12"/>
      <c r="E4" s="6"/>
      <c r="F4" s="6"/>
      <c r="G4" s="6"/>
      <c r="H4" s="12"/>
      <c r="I4" s="12"/>
      <c r="J4" s="12"/>
      <c r="K4" s="12"/>
      <c r="L4" s="12"/>
      <c r="M4" s="12"/>
      <c r="N4" s="12"/>
      <c r="O4" s="12"/>
      <c r="P4" s="12"/>
      <c r="Q4" s="12"/>
      <c r="R4" s="12"/>
      <c r="S4" s="12"/>
      <c r="T4" s="12"/>
      <c r="U4" s="12"/>
    </row>
    <row r="5" spans="1:21" ht="20.25" customHeight="1">
      <c r="A5" s="169" t="s">
        <v>115</v>
      </c>
      <c r="B5" s="170"/>
      <c r="C5" s="170"/>
      <c r="D5" s="170"/>
      <c r="E5" s="170"/>
      <c r="F5" s="170"/>
      <c r="G5" s="170"/>
      <c r="H5" s="170"/>
      <c r="I5" s="170"/>
      <c r="J5" s="170"/>
      <c r="K5" s="170"/>
      <c r="L5" s="170"/>
      <c r="M5" s="170"/>
      <c r="N5" s="170"/>
      <c r="O5" s="170"/>
      <c r="P5" s="170"/>
      <c r="Q5" s="170"/>
      <c r="R5" s="170"/>
      <c r="S5" s="170"/>
      <c r="T5" s="170"/>
      <c r="U5" s="170"/>
    </row>
    <row r="6" spans="1:21" ht="12.75">
      <c r="A6" s="2" t="s">
        <v>11</v>
      </c>
      <c r="B6" s="2"/>
      <c r="C6" s="2"/>
      <c r="D6" s="2"/>
      <c r="E6" s="3"/>
      <c r="F6" s="32"/>
      <c r="G6" s="32"/>
      <c r="H6" s="33"/>
      <c r="I6" s="34"/>
      <c r="J6" s="34"/>
      <c r="K6" s="34"/>
      <c r="L6" s="34"/>
      <c r="M6" s="63"/>
      <c r="N6" s="34"/>
      <c r="O6" s="34"/>
      <c r="P6" s="63"/>
      <c r="Q6" s="34"/>
      <c r="R6" s="34"/>
      <c r="S6" s="63"/>
      <c r="T6" s="34"/>
      <c r="U6" s="16"/>
    </row>
    <row r="7" spans="1:22" ht="12.75">
      <c r="A7" s="153" t="s">
        <v>10</v>
      </c>
      <c r="B7" s="156" t="s">
        <v>12</v>
      </c>
      <c r="C7" s="157"/>
      <c r="D7" s="157"/>
      <c r="E7" s="157"/>
      <c r="F7" s="157"/>
      <c r="G7" s="158"/>
      <c r="H7" s="159" t="s">
        <v>13</v>
      </c>
      <c r="I7" s="160"/>
      <c r="J7" s="165" t="s">
        <v>3</v>
      </c>
      <c r="K7" s="165"/>
      <c r="L7" s="165"/>
      <c r="M7" s="165"/>
      <c r="N7" s="165"/>
      <c r="O7" s="165"/>
      <c r="P7" s="165"/>
      <c r="Q7" s="165"/>
      <c r="R7" s="165"/>
      <c r="S7" s="165"/>
      <c r="T7" s="165"/>
      <c r="U7" s="165"/>
      <c r="V7" s="19"/>
    </row>
    <row r="8" spans="1:22" ht="12.75">
      <c r="A8" s="154"/>
      <c r="B8" s="166" t="s">
        <v>14</v>
      </c>
      <c r="C8" s="167"/>
      <c r="D8" s="167"/>
      <c r="E8" s="167"/>
      <c r="F8" s="167"/>
      <c r="G8" s="168"/>
      <c r="H8" s="161"/>
      <c r="I8" s="162"/>
      <c r="J8" s="165"/>
      <c r="K8" s="165"/>
      <c r="L8" s="165"/>
      <c r="M8" s="165"/>
      <c r="N8" s="165"/>
      <c r="O8" s="165"/>
      <c r="P8" s="165"/>
      <c r="Q8" s="165"/>
      <c r="R8" s="165"/>
      <c r="S8" s="165"/>
      <c r="T8" s="165"/>
      <c r="U8" s="165"/>
      <c r="V8" s="19"/>
    </row>
    <row r="9" spans="1:21" ht="26.25" customHeight="1">
      <c r="A9" s="154"/>
      <c r="B9" s="171" t="s">
        <v>6</v>
      </c>
      <c r="C9" s="172"/>
      <c r="D9" s="173"/>
      <c r="E9" s="174" t="s">
        <v>39</v>
      </c>
      <c r="F9" s="175"/>
      <c r="G9" s="176"/>
      <c r="H9" s="163"/>
      <c r="I9" s="164"/>
      <c r="J9" s="159" t="s">
        <v>47</v>
      </c>
      <c r="K9" s="160"/>
      <c r="L9" s="39" t="s">
        <v>2</v>
      </c>
      <c r="M9" s="156" t="s">
        <v>1</v>
      </c>
      <c r="N9" s="157"/>
      <c r="O9" s="158"/>
      <c r="P9" s="156" t="s">
        <v>0</v>
      </c>
      <c r="Q9" s="157"/>
      <c r="R9" s="157"/>
      <c r="S9" s="157"/>
      <c r="T9" s="157"/>
      <c r="U9" s="158"/>
    </row>
    <row r="10" spans="1:21" ht="12.75">
      <c r="A10" s="154"/>
      <c r="B10" s="39" t="s">
        <v>15</v>
      </c>
      <c r="C10" s="39" t="s">
        <v>16</v>
      </c>
      <c r="D10" s="39" t="s">
        <v>17</v>
      </c>
      <c r="E10" s="40" t="s">
        <v>15</v>
      </c>
      <c r="F10" s="40" t="s">
        <v>16</v>
      </c>
      <c r="G10" s="40" t="s">
        <v>17</v>
      </c>
      <c r="H10" s="177" t="s">
        <v>4</v>
      </c>
      <c r="I10" s="177" t="s">
        <v>5</v>
      </c>
      <c r="J10" s="163"/>
      <c r="K10" s="164"/>
      <c r="L10" s="41" t="s">
        <v>52</v>
      </c>
      <c r="M10" s="180" t="s">
        <v>58</v>
      </c>
      <c r="N10" s="181"/>
      <c r="O10" s="182"/>
      <c r="P10" s="72"/>
      <c r="Q10" s="43"/>
      <c r="R10" s="43"/>
      <c r="S10" s="74"/>
      <c r="T10" s="43"/>
      <c r="U10" s="44"/>
    </row>
    <row r="11" spans="1:21" ht="12.75">
      <c r="A11" s="154"/>
      <c r="B11" s="39" t="s">
        <v>18</v>
      </c>
      <c r="C11" s="39" t="s">
        <v>19</v>
      </c>
      <c r="D11" s="39" t="s">
        <v>20</v>
      </c>
      <c r="E11" s="40" t="s">
        <v>18</v>
      </c>
      <c r="F11" s="40" t="s">
        <v>19</v>
      </c>
      <c r="G11" s="40" t="s">
        <v>20</v>
      </c>
      <c r="H11" s="178"/>
      <c r="I11" s="178"/>
      <c r="J11" s="45"/>
      <c r="K11" s="39"/>
      <c r="L11" s="45"/>
      <c r="M11" s="64"/>
      <c r="N11" s="46"/>
      <c r="O11" s="46"/>
      <c r="P11" s="156" t="s">
        <v>59</v>
      </c>
      <c r="Q11" s="157"/>
      <c r="R11" s="158"/>
      <c r="S11" s="156" t="s">
        <v>60</v>
      </c>
      <c r="T11" s="157"/>
      <c r="U11" s="158"/>
    </row>
    <row r="12" spans="1:21" ht="12.75">
      <c r="A12" s="154"/>
      <c r="B12" s="39" t="s">
        <v>21</v>
      </c>
      <c r="C12" s="39" t="s">
        <v>22</v>
      </c>
      <c r="D12" s="39" t="s">
        <v>23</v>
      </c>
      <c r="E12" s="40" t="s">
        <v>21</v>
      </c>
      <c r="F12" s="40" t="s">
        <v>22</v>
      </c>
      <c r="G12" s="40" t="s">
        <v>23</v>
      </c>
      <c r="H12" s="178"/>
      <c r="I12" s="178"/>
      <c r="J12" s="45" t="s">
        <v>24</v>
      </c>
      <c r="K12" s="39" t="s">
        <v>25</v>
      </c>
      <c r="L12" s="39"/>
      <c r="M12" s="45" t="s">
        <v>26</v>
      </c>
      <c r="N12" s="45" t="s">
        <v>27</v>
      </c>
      <c r="O12" s="45" t="s">
        <v>28</v>
      </c>
      <c r="P12" s="166"/>
      <c r="Q12" s="167"/>
      <c r="R12" s="168"/>
      <c r="S12" s="166"/>
      <c r="T12" s="167"/>
      <c r="U12" s="168"/>
    </row>
    <row r="13" spans="1:21" ht="12.75">
      <c r="A13" s="154"/>
      <c r="B13" s="45" t="s">
        <v>29</v>
      </c>
      <c r="C13" s="39" t="s">
        <v>30</v>
      </c>
      <c r="D13" s="39" t="s">
        <v>31</v>
      </c>
      <c r="E13" s="47" t="s">
        <v>29</v>
      </c>
      <c r="F13" s="40" t="s">
        <v>30</v>
      </c>
      <c r="G13" s="40" t="s">
        <v>31</v>
      </c>
      <c r="H13" s="178"/>
      <c r="I13" s="178"/>
      <c r="J13" s="45"/>
      <c r="K13" s="39"/>
      <c r="L13" s="39"/>
      <c r="M13" s="45"/>
      <c r="N13" s="45"/>
      <c r="O13" s="45"/>
      <c r="P13" s="77" t="s">
        <v>26</v>
      </c>
      <c r="Q13" s="48" t="s">
        <v>27</v>
      </c>
      <c r="R13" s="48" t="s">
        <v>28</v>
      </c>
      <c r="S13" s="77" t="s">
        <v>26</v>
      </c>
      <c r="T13" s="48" t="s">
        <v>27</v>
      </c>
      <c r="U13" s="46" t="s">
        <v>28</v>
      </c>
    </row>
    <row r="14" spans="1:21" ht="12.75">
      <c r="A14" s="155"/>
      <c r="B14" s="45"/>
      <c r="C14" s="39" t="s">
        <v>32</v>
      </c>
      <c r="D14" s="39" t="s">
        <v>33</v>
      </c>
      <c r="E14" s="47"/>
      <c r="F14" s="40" t="s">
        <v>32</v>
      </c>
      <c r="G14" s="40" t="s">
        <v>33</v>
      </c>
      <c r="H14" s="179"/>
      <c r="I14" s="179"/>
      <c r="J14" s="41"/>
      <c r="K14" s="44"/>
      <c r="L14" s="44"/>
      <c r="M14" s="41"/>
      <c r="N14" s="41"/>
      <c r="O14" s="41"/>
      <c r="P14" s="78"/>
      <c r="Q14" s="42"/>
      <c r="R14" s="42"/>
      <c r="S14" s="78"/>
      <c r="T14" s="42"/>
      <c r="U14" s="41"/>
    </row>
    <row r="15" spans="1:21" ht="12.75">
      <c r="A15" s="49">
        <v>1</v>
      </c>
      <c r="B15" s="49">
        <v>2</v>
      </c>
      <c r="C15" s="49">
        <v>3</v>
      </c>
      <c r="D15" s="49">
        <v>4</v>
      </c>
      <c r="E15" s="50">
        <v>5</v>
      </c>
      <c r="F15" s="50">
        <v>6</v>
      </c>
      <c r="G15" s="50">
        <v>7</v>
      </c>
      <c r="H15" s="51" t="s">
        <v>34</v>
      </c>
      <c r="I15" s="49">
        <v>9</v>
      </c>
      <c r="J15" s="49">
        <v>10</v>
      </c>
      <c r="K15" s="49">
        <v>11</v>
      </c>
      <c r="L15" s="49">
        <v>12</v>
      </c>
      <c r="M15" s="49">
        <v>13</v>
      </c>
      <c r="N15" s="49">
        <v>14</v>
      </c>
      <c r="O15" s="49">
        <v>15</v>
      </c>
      <c r="P15" s="49">
        <v>16</v>
      </c>
      <c r="Q15" s="49">
        <v>17</v>
      </c>
      <c r="R15" s="49">
        <v>18</v>
      </c>
      <c r="S15" s="49">
        <v>19</v>
      </c>
      <c r="T15" s="49">
        <v>20</v>
      </c>
      <c r="U15" s="49">
        <v>21</v>
      </c>
    </row>
    <row r="16" spans="1:21" ht="81" customHeight="1">
      <c r="A16" s="144" t="s">
        <v>40</v>
      </c>
      <c r="B16" s="13" t="s">
        <v>7</v>
      </c>
      <c r="C16" s="13" t="s">
        <v>7</v>
      </c>
      <c r="D16" s="13" t="s">
        <v>7</v>
      </c>
      <c r="E16" s="7" t="s">
        <v>7</v>
      </c>
      <c r="F16" s="7" t="s">
        <v>7</v>
      </c>
      <c r="G16" s="7" t="s">
        <v>7</v>
      </c>
      <c r="H16" s="13" t="s">
        <v>7</v>
      </c>
      <c r="I16" s="13" t="s">
        <v>7</v>
      </c>
      <c r="J16" s="20">
        <f>SUM(J18:J46)</f>
        <v>456949.1000000001</v>
      </c>
      <c r="K16" s="20">
        <f aca="true" t="shared" si="0" ref="K16:U16">SUM(K18:K46)</f>
        <v>419318.89999999997</v>
      </c>
      <c r="L16" s="20">
        <f t="shared" si="0"/>
        <v>483107.19999999995</v>
      </c>
      <c r="M16" s="20">
        <f t="shared" si="0"/>
        <v>376272.49999999994</v>
      </c>
      <c r="N16" s="20">
        <f t="shared" si="0"/>
        <v>376061.99999999994</v>
      </c>
      <c r="O16" s="20">
        <f t="shared" si="0"/>
        <v>210.5</v>
      </c>
      <c r="P16" s="20">
        <f t="shared" si="0"/>
        <v>266783.89999999997</v>
      </c>
      <c r="Q16" s="20">
        <f t="shared" si="0"/>
        <v>266783.89999999997</v>
      </c>
      <c r="R16" s="20">
        <f t="shared" si="0"/>
        <v>0</v>
      </c>
      <c r="S16" s="20">
        <f t="shared" si="0"/>
        <v>269919.1</v>
      </c>
      <c r="T16" s="20">
        <f t="shared" si="0"/>
        <v>269919.1</v>
      </c>
      <c r="U16" s="20">
        <f t="shared" si="0"/>
        <v>0</v>
      </c>
    </row>
    <row r="17" spans="1:21" ht="12.75">
      <c r="A17" s="137" t="s">
        <v>9</v>
      </c>
      <c r="B17" s="4"/>
      <c r="C17" s="4"/>
      <c r="D17" s="4"/>
      <c r="E17" s="8"/>
      <c r="F17" s="8"/>
      <c r="G17" s="8"/>
      <c r="H17" s="4"/>
      <c r="I17" s="4"/>
      <c r="J17" s="21"/>
      <c r="K17" s="21"/>
      <c r="L17" s="21"/>
      <c r="M17" s="20"/>
      <c r="N17" s="21"/>
      <c r="O17" s="21"/>
      <c r="P17" s="20"/>
      <c r="Q17" s="21"/>
      <c r="R17" s="21"/>
      <c r="S17" s="20"/>
      <c r="T17" s="21"/>
      <c r="U17" s="21"/>
    </row>
    <row r="18" spans="1:21" ht="114" customHeight="1">
      <c r="A18" s="105" t="s">
        <v>116</v>
      </c>
      <c r="B18" s="56" t="s">
        <v>117</v>
      </c>
      <c r="C18" s="56" t="s">
        <v>118</v>
      </c>
      <c r="D18" s="56" t="s">
        <v>119</v>
      </c>
      <c r="E18" s="107" t="s">
        <v>120</v>
      </c>
      <c r="F18" s="107" t="s">
        <v>121</v>
      </c>
      <c r="G18" s="107" t="s">
        <v>122</v>
      </c>
      <c r="H18" s="52" t="s">
        <v>321</v>
      </c>
      <c r="I18" s="52" t="s">
        <v>322</v>
      </c>
      <c r="J18" s="53">
        <f>7923.8+386.9+1011.4</f>
        <v>9322.1</v>
      </c>
      <c r="K18" s="54">
        <f>7921.7+292.4+1008.1</f>
        <v>9222.2</v>
      </c>
      <c r="L18" s="55">
        <f>9001.7+1012.8+1163.4</f>
        <v>11177.9</v>
      </c>
      <c r="M18" s="65">
        <f>N18+O18</f>
        <v>12832.5</v>
      </c>
      <c r="N18" s="55">
        <f>9919.8+1441.5+1282</f>
        <v>12643.3</v>
      </c>
      <c r="O18" s="55">
        <f>157+16.6+15.6</f>
        <v>189.2</v>
      </c>
      <c r="P18" s="65">
        <f>Q18+R18</f>
        <v>12798.1</v>
      </c>
      <c r="Q18" s="55">
        <f>10096.4+1404.1+1297.6</f>
        <v>12798.1</v>
      </c>
      <c r="R18" s="55">
        <v>0</v>
      </c>
      <c r="S18" s="65">
        <f>T18+U18</f>
        <v>12790.1</v>
      </c>
      <c r="T18" s="55">
        <f>10088.4+1404.1+1297.6</f>
        <v>12790.1</v>
      </c>
      <c r="U18" s="55">
        <v>0</v>
      </c>
    </row>
    <row r="19" spans="1:21" ht="63" customHeight="1">
      <c r="A19" s="137" t="s">
        <v>124</v>
      </c>
      <c r="B19" s="56" t="s">
        <v>125</v>
      </c>
      <c r="C19" s="56" t="s">
        <v>126</v>
      </c>
      <c r="D19" s="56" t="s">
        <v>127</v>
      </c>
      <c r="E19" s="107" t="s">
        <v>120</v>
      </c>
      <c r="F19" s="107" t="s">
        <v>121</v>
      </c>
      <c r="G19" s="107" t="s">
        <v>122</v>
      </c>
      <c r="H19" s="52" t="s">
        <v>71</v>
      </c>
      <c r="I19" s="52" t="s">
        <v>123</v>
      </c>
      <c r="J19" s="53">
        <v>1004.6</v>
      </c>
      <c r="K19" s="54">
        <v>1004.6</v>
      </c>
      <c r="L19" s="55">
        <v>1213</v>
      </c>
      <c r="M19" s="65">
        <f aca="true" t="shared" si="1" ref="M19:M46">N19+O19</f>
        <v>1659.3</v>
      </c>
      <c r="N19" s="55">
        <v>1638</v>
      </c>
      <c r="O19" s="55">
        <v>21.3</v>
      </c>
      <c r="P19" s="65">
        <f>Q19+R19</f>
        <v>1659.3</v>
      </c>
      <c r="Q19" s="55">
        <v>1659.3</v>
      </c>
      <c r="R19" s="55">
        <v>0</v>
      </c>
      <c r="S19" s="65">
        <f>T19+U19</f>
        <v>1659.3</v>
      </c>
      <c r="T19" s="55">
        <v>1659.3</v>
      </c>
      <c r="U19" s="55">
        <v>0</v>
      </c>
    </row>
    <row r="20" spans="1:21" ht="148.5" customHeight="1">
      <c r="A20" s="106" t="s">
        <v>179</v>
      </c>
      <c r="B20" s="104" t="s">
        <v>180</v>
      </c>
      <c r="C20" s="104" t="s">
        <v>181</v>
      </c>
      <c r="D20" s="104" t="s">
        <v>182</v>
      </c>
      <c r="E20" s="9" t="s">
        <v>184</v>
      </c>
      <c r="F20" s="106" t="s">
        <v>183</v>
      </c>
      <c r="G20" s="118" t="s">
        <v>185</v>
      </c>
      <c r="H20" s="98" t="s">
        <v>186</v>
      </c>
      <c r="I20" s="98" t="s">
        <v>187</v>
      </c>
      <c r="J20" s="23">
        <f>3.2+1+350.6</f>
        <v>354.8</v>
      </c>
      <c r="K20" s="23">
        <f>3.2+338</f>
        <v>341.2</v>
      </c>
      <c r="L20" s="23">
        <f>3+8+31.5+307.3</f>
        <v>349.8</v>
      </c>
      <c r="M20" s="65">
        <f t="shared" si="1"/>
        <v>1079.3</v>
      </c>
      <c r="N20" s="21">
        <v>1079.3</v>
      </c>
      <c r="O20" s="21"/>
      <c r="P20" s="20">
        <f>Q20+R20</f>
        <v>0</v>
      </c>
      <c r="Q20" s="21"/>
      <c r="R20" s="21"/>
      <c r="S20" s="20">
        <f>T20+U20</f>
        <v>0</v>
      </c>
      <c r="T20" s="21"/>
      <c r="U20" s="21"/>
    </row>
    <row r="21" spans="1:21" ht="180" customHeight="1">
      <c r="A21" s="140" t="s">
        <v>95</v>
      </c>
      <c r="B21" s="104" t="s">
        <v>188</v>
      </c>
      <c r="C21" s="104" t="s">
        <v>189</v>
      </c>
      <c r="D21" s="104" t="s">
        <v>190</v>
      </c>
      <c r="E21" s="106" t="s">
        <v>191</v>
      </c>
      <c r="F21" s="106" t="s">
        <v>192</v>
      </c>
      <c r="G21" s="106" t="s">
        <v>193</v>
      </c>
      <c r="H21" s="14" t="s">
        <v>195</v>
      </c>
      <c r="I21" s="14" t="s">
        <v>194</v>
      </c>
      <c r="J21" s="23">
        <f>563+18772.9</f>
        <v>19335.9</v>
      </c>
      <c r="K21" s="25">
        <f>484.6+18303.6</f>
        <v>18788.199999999997</v>
      </c>
      <c r="L21" s="23">
        <f>663+487</f>
        <v>1150</v>
      </c>
      <c r="M21" s="65">
        <f t="shared" si="1"/>
        <v>0</v>
      </c>
      <c r="N21" s="21"/>
      <c r="O21" s="21"/>
      <c r="P21" s="20"/>
      <c r="Q21" s="21"/>
      <c r="R21" s="21"/>
      <c r="S21" s="20"/>
      <c r="T21" s="21"/>
      <c r="U21" s="21"/>
    </row>
    <row r="22" spans="1:21" ht="230.25" customHeight="1">
      <c r="A22" s="140" t="s">
        <v>100</v>
      </c>
      <c r="B22" s="104" t="s">
        <v>196</v>
      </c>
      <c r="C22" s="104" t="s">
        <v>197</v>
      </c>
      <c r="D22" s="104" t="s">
        <v>198</v>
      </c>
      <c r="E22" s="106" t="s">
        <v>199</v>
      </c>
      <c r="F22" s="106" t="s">
        <v>200</v>
      </c>
      <c r="G22" s="106" t="s">
        <v>201</v>
      </c>
      <c r="H22" s="22" t="s">
        <v>50</v>
      </c>
      <c r="I22" s="22" t="s">
        <v>101</v>
      </c>
      <c r="J22" s="23">
        <v>9948.9</v>
      </c>
      <c r="K22" s="23">
        <v>9520.3</v>
      </c>
      <c r="L22" s="23">
        <f>522.9+8694.5</f>
        <v>9217.4</v>
      </c>
      <c r="M22" s="65">
        <f t="shared" si="1"/>
        <v>9104.7</v>
      </c>
      <c r="N22" s="21">
        <v>9104.7</v>
      </c>
      <c r="O22" s="21"/>
      <c r="P22" s="20"/>
      <c r="Q22" s="21"/>
      <c r="R22" s="21"/>
      <c r="S22" s="20"/>
      <c r="T22" s="21"/>
      <c r="U22" s="21"/>
    </row>
    <row r="23" spans="1:21" ht="278.25" customHeight="1">
      <c r="A23" s="138" t="s">
        <v>68</v>
      </c>
      <c r="B23" s="114" t="s">
        <v>125</v>
      </c>
      <c r="C23" s="114" t="s">
        <v>126</v>
      </c>
      <c r="D23" s="114" t="s">
        <v>215</v>
      </c>
      <c r="E23" s="10" t="s">
        <v>334</v>
      </c>
      <c r="F23" s="106" t="s">
        <v>335</v>
      </c>
      <c r="G23" s="119" t="s">
        <v>336</v>
      </c>
      <c r="H23" s="14" t="s">
        <v>337</v>
      </c>
      <c r="I23" s="14" t="s">
        <v>338</v>
      </c>
      <c r="J23" s="23">
        <f>0.5+0.5+0.8+0.5+3+1</f>
        <v>6.3</v>
      </c>
      <c r="K23" s="23">
        <f>0.5+0.5+0.5+3+1</f>
        <v>5.5</v>
      </c>
      <c r="L23" s="23">
        <f>0.5+4+3+1</f>
        <v>8.5</v>
      </c>
      <c r="M23" s="65">
        <f t="shared" si="1"/>
        <v>2677.6</v>
      </c>
      <c r="N23" s="21">
        <v>2677.6</v>
      </c>
      <c r="O23" s="21"/>
      <c r="P23" s="20">
        <f>Q23+R23</f>
        <v>2677.6</v>
      </c>
      <c r="Q23" s="21">
        <v>2677.6</v>
      </c>
      <c r="R23" s="21"/>
      <c r="S23" s="20">
        <f>T23+U23</f>
        <v>2677.6</v>
      </c>
      <c r="T23" s="21">
        <v>2677.6</v>
      </c>
      <c r="U23" s="21"/>
    </row>
    <row r="24" spans="1:21" ht="147" customHeight="1">
      <c r="A24" s="137" t="s">
        <v>128</v>
      </c>
      <c r="B24" s="56" t="s">
        <v>125</v>
      </c>
      <c r="C24" s="104" t="s">
        <v>340</v>
      </c>
      <c r="D24" s="56" t="s">
        <v>339</v>
      </c>
      <c r="E24" s="107" t="s">
        <v>202</v>
      </c>
      <c r="F24" s="104" t="s">
        <v>203</v>
      </c>
      <c r="G24" s="104" t="s">
        <v>204</v>
      </c>
      <c r="H24" s="52" t="s">
        <v>205</v>
      </c>
      <c r="I24" s="52" t="s">
        <v>206</v>
      </c>
      <c r="J24" s="53">
        <f>10474.6+1113.1</f>
        <v>11587.7</v>
      </c>
      <c r="K24" s="54">
        <f>479.4</f>
        <v>479.4</v>
      </c>
      <c r="L24" s="55">
        <f>6611.7+1521.6</f>
        <v>8133.299999999999</v>
      </c>
      <c r="M24" s="65">
        <f t="shared" si="1"/>
        <v>8463.3</v>
      </c>
      <c r="N24" s="55">
        <f>6931.7+1531.6</f>
        <v>8463.3</v>
      </c>
      <c r="O24" s="55">
        <v>0</v>
      </c>
      <c r="P24" s="65">
        <f aca="true" t="shared" si="2" ref="P24:P29">Q24+R24</f>
        <v>4976.2</v>
      </c>
      <c r="Q24" s="55">
        <f>3444.6+1531.6</f>
        <v>4976.2</v>
      </c>
      <c r="R24" s="55">
        <v>0</v>
      </c>
      <c r="S24" s="65">
        <f aca="true" t="shared" si="3" ref="S24:S29">T24+U24</f>
        <v>7497.4</v>
      </c>
      <c r="T24" s="55">
        <f>5965.8+1531.6</f>
        <v>7497.4</v>
      </c>
      <c r="U24" s="55">
        <v>0</v>
      </c>
    </row>
    <row r="25" spans="1:21" ht="165.75" customHeight="1">
      <c r="A25" s="106" t="s">
        <v>207</v>
      </c>
      <c r="B25" s="104" t="s">
        <v>208</v>
      </c>
      <c r="C25" s="104" t="s">
        <v>209</v>
      </c>
      <c r="D25" s="104" t="s">
        <v>210</v>
      </c>
      <c r="E25" s="104" t="s">
        <v>211</v>
      </c>
      <c r="F25" s="104" t="s">
        <v>212</v>
      </c>
      <c r="G25" s="104" t="s">
        <v>213</v>
      </c>
      <c r="H25" s="98" t="s">
        <v>317</v>
      </c>
      <c r="I25" s="98" t="s">
        <v>318</v>
      </c>
      <c r="J25" s="54">
        <f>1180.5</f>
        <v>1180.5</v>
      </c>
      <c r="K25" s="54">
        <v>20.3</v>
      </c>
      <c r="L25" s="54">
        <f>1319.8</f>
        <v>1319.8</v>
      </c>
      <c r="M25" s="65">
        <f t="shared" si="1"/>
        <v>643.3</v>
      </c>
      <c r="N25" s="54">
        <v>643.3</v>
      </c>
      <c r="O25" s="54"/>
      <c r="P25" s="79">
        <f t="shared" si="2"/>
        <v>180.9</v>
      </c>
      <c r="Q25" s="54">
        <v>180.9</v>
      </c>
      <c r="R25" s="54"/>
      <c r="S25" s="79">
        <f t="shared" si="3"/>
        <v>188.2</v>
      </c>
      <c r="T25" s="54">
        <v>188.2</v>
      </c>
      <c r="U25" s="54"/>
    </row>
    <row r="26" spans="1:21" ht="288" customHeight="1">
      <c r="A26" s="106" t="s">
        <v>214</v>
      </c>
      <c r="B26" s="120" t="s">
        <v>341</v>
      </c>
      <c r="C26" s="114" t="s">
        <v>346</v>
      </c>
      <c r="D26" s="114" t="s">
        <v>342</v>
      </c>
      <c r="E26" s="114" t="s">
        <v>343</v>
      </c>
      <c r="F26" s="114" t="s">
        <v>344</v>
      </c>
      <c r="G26" s="114" t="s">
        <v>345</v>
      </c>
      <c r="H26" s="14" t="s">
        <v>347</v>
      </c>
      <c r="I26" s="75" t="s">
        <v>348</v>
      </c>
      <c r="J26" s="54">
        <f>8503.7+6199.8+66254.3</f>
        <v>80957.8</v>
      </c>
      <c r="K26" s="54">
        <f>4303.7+6199.8+65654.3</f>
        <v>76157.8</v>
      </c>
      <c r="L26" s="54">
        <f>7381.3+11483.6+175931.8</f>
        <v>194796.69999999998</v>
      </c>
      <c r="M26" s="65">
        <f t="shared" si="1"/>
        <v>149036.4</v>
      </c>
      <c r="N26" s="54">
        <f>7000+8699.9+6547+126789.5</f>
        <v>149036.4</v>
      </c>
      <c r="O26" s="54"/>
      <c r="P26" s="80">
        <f t="shared" si="2"/>
        <v>86805.70000000001</v>
      </c>
      <c r="Q26" s="54">
        <f>3545+6757.6+76503.1</f>
        <v>86805.70000000001</v>
      </c>
      <c r="R26" s="54"/>
      <c r="S26" s="79">
        <f t="shared" si="3"/>
        <v>87210.20000000001</v>
      </c>
      <c r="T26" s="54">
        <f>3545+6757.6+76907.6</f>
        <v>87210.20000000001</v>
      </c>
      <c r="U26" s="54"/>
    </row>
    <row r="27" spans="1:21" ht="96" customHeight="1">
      <c r="A27" s="143" t="s">
        <v>107</v>
      </c>
      <c r="B27" s="104" t="s">
        <v>216</v>
      </c>
      <c r="C27" s="104" t="s">
        <v>217</v>
      </c>
      <c r="D27" s="104" t="s">
        <v>218</v>
      </c>
      <c r="E27" s="106" t="s">
        <v>108</v>
      </c>
      <c r="F27" s="106" t="s">
        <v>69</v>
      </c>
      <c r="G27" s="106" t="s">
        <v>105</v>
      </c>
      <c r="H27" s="14" t="s">
        <v>219</v>
      </c>
      <c r="I27" s="14" t="s">
        <v>220</v>
      </c>
      <c r="J27" s="23">
        <v>83</v>
      </c>
      <c r="K27" s="23">
        <v>83</v>
      </c>
      <c r="L27" s="23">
        <f>10+5896.5</f>
        <v>5906.5</v>
      </c>
      <c r="M27" s="65">
        <f t="shared" si="1"/>
        <v>7022</v>
      </c>
      <c r="N27" s="21">
        <f>7022</f>
        <v>7022</v>
      </c>
      <c r="O27" s="21"/>
      <c r="P27" s="73">
        <f t="shared" si="2"/>
        <v>8106</v>
      </c>
      <c r="Q27" s="21">
        <f>8106</f>
        <v>8106</v>
      </c>
      <c r="R27" s="21"/>
      <c r="S27" s="20">
        <f t="shared" si="3"/>
        <v>8106</v>
      </c>
      <c r="T27" s="21">
        <v>8106</v>
      </c>
      <c r="U27" s="21"/>
    </row>
    <row r="28" spans="1:21" ht="109.5" customHeight="1">
      <c r="A28" s="106" t="s">
        <v>221</v>
      </c>
      <c r="B28" s="104" t="s">
        <v>222</v>
      </c>
      <c r="C28" s="104" t="s">
        <v>223</v>
      </c>
      <c r="D28" s="104" t="s">
        <v>224</v>
      </c>
      <c r="E28" s="104" t="s">
        <v>225</v>
      </c>
      <c r="F28" s="104" t="s">
        <v>226</v>
      </c>
      <c r="G28" s="104" t="s">
        <v>227</v>
      </c>
      <c r="H28" s="98" t="s">
        <v>229</v>
      </c>
      <c r="I28" s="98" t="s">
        <v>228</v>
      </c>
      <c r="J28" s="54">
        <f>601.1-0.4</f>
        <v>600.7</v>
      </c>
      <c r="K28" s="54">
        <v>599.8</v>
      </c>
      <c r="L28" s="54">
        <v>602.2</v>
      </c>
      <c r="M28" s="65">
        <f t="shared" si="1"/>
        <v>546.6</v>
      </c>
      <c r="N28" s="54">
        <v>546.6</v>
      </c>
      <c r="O28" s="54"/>
      <c r="P28" s="79">
        <f t="shared" si="2"/>
        <v>546.6</v>
      </c>
      <c r="Q28" s="54">
        <v>546.6</v>
      </c>
      <c r="R28" s="54"/>
      <c r="S28" s="79">
        <f t="shared" si="3"/>
        <v>546.6</v>
      </c>
      <c r="T28" s="54">
        <v>546.6</v>
      </c>
      <c r="U28" s="54"/>
    </row>
    <row r="29" spans="1:21" ht="75.75" customHeight="1">
      <c r="A29" s="106" t="s">
        <v>230</v>
      </c>
      <c r="B29" s="104" t="s">
        <v>125</v>
      </c>
      <c r="C29" s="104" t="s">
        <v>231</v>
      </c>
      <c r="D29" s="104" t="s">
        <v>215</v>
      </c>
      <c r="E29" s="104" t="s">
        <v>232</v>
      </c>
      <c r="F29" s="104" t="s">
        <v>233</v>
      </c>
      <c r="G29" s="115" t="s">
        <v>234</v>
      </c>
      <c r="H29" s="98" t="s">
        <v>319</v>
      </c>
      <c r="I29" s="98" t="s">
        <v>320</v>
      </c>
      <c r="J29" s="54">
        <f>132.4</f>
        <v>132.4</v>
      </c>
      <c r="K29" s="54">
        <f>132.4</f>
        <v>132.4</v>
      </c>
      <c r="L29" s="54"/>
      <c r="M29" s="65">
        <f t="shared" si="1"/>
        <v>0</v>
      </c>
      <c r="N29" s="54"/>
      <c r="O29" s="54"/>
      <c r="P29" s="79">
        <f t="shared" si="2"/>
        <v>0</v>
      </c>
      <c r="Q29" s="54"/>
      <c r="R29" s="54"/>
      <c r="S29" s="79">
        <f t="shared" si="3"/>
        <v>0</v>
      </c>
      <c r="T29" s="54"/>
      <c r="U29" s="54"/>
    </row>
    <row r="30" spans="1:21" ht="71.25" customHeight="1">
      <c r="A30" s="137" t="s">
        <v>328</v>
      </c>
      <c r="B30" s="105" t="s">
        <v>330</v>
      </c>
      <c r="C30" s="105" t="s">
        <v>329</v>
      </c>
      <c r="D30" s="121">
        <v>34697</v>
      </c>
      <c r="E30" s="122"/>
      <c r="F30" s="122"/>
      <c r="G30" s="122"/>
      <c r="H30" s="99" t="s">
        <v>101</v>
      </c>
      <c r="I30" s="99" t="s">
        <v>71</v>
      </c>
      <c r="J30" s="81">
        <v>11415.5</v>
      </c>
      <c r="K30" s="81">
        <v>11415.5</v>
      </c>
      <c r="L30" s="81">
        <v>11289.3</v>
      </c>
      <c r="M30" s="79">
        <v>15078.7</v>
      </c>
      <c r="N30" s="81">
        <f>M30</f>
        <v>15078.7</v>
      </c>
      <c r="O30" s="81"/>
      <c r="P30" s="79">
        <v>12451.9</v>
      </c>
      <c r="Q30" s="81">
        <f>P30</f>
        <v>12451.9</v>
      </c>
      <c r="R30" s="81"/>
      <c r="S30" s="79">
        <v>12374</v>
      </c>
      <c r="T30" s="81">
        <f>S30</f>
        <v>12374</v>
      </c>
      <c r="U30" s="82"/>
    </row>
    <row r="31" spans="1:21" ht="291" customHeight="1">
      <c r="A31" s="106" t="s">
        <v>70</v>
      </c>
      <c r="B31" s="104" t="s">
        <v>125</v>
      </c>
      <c r="C31" s="105" t="s">
        <v>331</v>
      </c>
      <c r="D31" s="123">
        <v>37900</v>
      </c>
      <c r="E31" s="9" t="s">
        <v>106</v>
      </c>
      <c r="F31" s="124" t="s">
        <v>69</v>
      </c>
      <c r="G31" s="118" t="s">
        <v>91</v>
      </c>
      <c r="H31" s="14" t="s">
        <v>332</v>
      </c>
      <c r="I31" s="14" t="s">
        <v>333</v>
      </c>
      <c r="J31" s="23">
        <f>6+19+327.6+28.3+136+150620.7</f>
        <v>151137.6</v>
      </c>
      <c r="K31" s="23">
        <f>6+19+83+7.2+104+148899.1</f>
        <v>149118.30000000002</v>
      </c>
      <c r="L31" s="23">
        <f>20+36+30+37.4+240+28391.5</f>
        <v>28754.9</v>
      </c>
      <c r="M31" s="65">
        <f t="shared" si="1"/>
        <v>36308.6</v>
      </c>
      <c r="N31" s="21">
        <v>36308.6</v>
      </c>
      <c r="O31" s="21"/>
      <c r="P31" s="20">
        <f>Q31+R31</f>
        <v>31147.1</v>
      </c>
      <c r="Q31" s="21">
        <v>31147.1</v>
      </c>
      <c r="R31" s="21"/>
      <c r="S31" s="20">
        <f>T31+U31</f>
        <v>31145</v>
      </c>
      <c r="T31" s="21">
        <v>31145</v>
      </c>
      <c r="U31" s="21"/>
    </row>
    <row r="32" spans="1:21" ht="118.5" customHeight="1">
      <c r="A32" s="137" t="s">
        <v>54</v>
      </c>
      <c r="B32" s="105" t="s">
        <v>57</v>
      </c>
      <c r="C32" s="122" t="s">
        <v>62</v>
      </c>
      <c r="D32" s="123">
        <v>37900</v>
      </c>
      <c r="E32" s="105" t="s">
        <v>94</v>
      </c>
      <c r="F32" s="118" t="s">
        <v>69</v>
      </c>
      <c r="G32" s="121" t="s">
        <v>92</v>
      </c>
      <c r="H32" s="1" t="s">
        <v>49</v>
      </c>
      <c r="I32" s="1" t="s">
        <v>48</v>
      </c>
      <c r="J32" s="21">
        <f>80+150</f>
        <v>230</v>
      </c>
      <c r="K32" s="21">
        <f>55.5+150</f>
        <v>205.5</v>
      </c>
      <c r="L32" s="21">
        <f>3.8+5.4</f>
        <v>9.2</v>
      </c>
      <c r="M32" s="65">
        <f t="shared" si="1"/>
        <v>25</v>
      </c>
      <c r="N32" s="21">
        <v>25</v>
      </c>
      <c r="O32" s="21"/>
      <c r="P32" s="20">
        <v>0</v>
      </c>
      <c r="Q32" s="21">
        <v>0</v>
      </c>
      <c r="R32" s="21"/>
      <c r="S32" s="20">
        <v>0</v>
      </c>
      <c r="T32" s="21">
        <v>0</v>
      </c>
      <c r="U32" s="21"/>
    </row>
    <row r="33" spans="1:21" ht="301.5" customHeight="1">
      <c r="A33" s="137" t="s">
        <v>55</v>
      </c>
      <c r="B33" s="105" t="s">
        <v>57</v>
      </c>
      <c r="C33" s="122" t="s">
        <v>62</v>
      </c>
      <c r="D33" s="123">
        <v>37900</v>
      </c>
      <c r="E33" s="10" t="s">
        <v>102</v>
      </c>
      <c r="F33" s="124" t="s">
        <v>69</v>
      </c>
      <c r="G33" s="119" t="s">
        <v>73</v>
      </c>
      <c r="H33" s="14" t="s">
        <v>235</v>
      </c>
      <c r="I33" s="14" t="s">
        <v>236</v>
      </c>
      <c r="J33" s="23">
        <f>3556.9+4534.8+2326.6+3605.3</f>
        <v>14023.600000000002</v>
      </c>
      <c r="K33" s="23">
        <f>3543.6+4467.6+2281.7+3396</f>
        <v>13688.900000000001</v>
      </c>
      <c r="L33" s="23">
        <f>3750.7+4981.5+2416.6+3762+14</f>
        <v>14924.800000000001</v>
      </c>
      <c r="M33" s="65">
        <f t="shared" si="1"/>
        <v>17801.9</v>
      </c>
      <c r="N33" s="21">
        <f>17791.9+10</f>
        <v>17801.9</v>
      </c>
      <c r="O33" s="21"/>
      <c r="P33" s="20">
        <f>Q33</f>
        <v>17596.9</v>
      </c>
      <c r="Q33" s="21">
        <f>17586.9+10</f>
        <v>17596.9</v>
      </c>
      <c r="R33" s="21"/>
      <c r="S33" s="20">
        <f>T33</f>
        <v>17596.9</v>
      </c>
      <c r="T33" s="21">
        <f>17586.9+10</f>
        <v>17596.9</v>
      </c>
      <c r="U33" s="21"/>
    </row>
    <row r="34" spans="1:21" ht="150.75" customHeight="1">
      <c r="A34" s="113" t="s">
        <v>143</v>
      </c>
      <c r="B34" s="104" t="s">
        <v>237</v>
      </c>
      <c r="C34" s="104" t="s">
        <v>238</v>
      </c>
      <c r="D34" s="104" t="s">
        <v>239</v>
      </c>
      <c r="E34" s="104" t="s">
        <v>240</v>
      </c>
      <c r="F34" s="104" t="s">
        <v>241</v>
      </c>
      <c r="G34" s="104" t="s">
        <v>242</v>
      </c>
      <c r="H34" s="100" t="s">
        <v>243</v>
      </c>
      <c r="I34" s="100" t="s">
        <v>244</v>
      </c>
      <c r="J34" s="83">
        <f>294.4+810.8</f>
        <v>1105.1999999999998</v>
      </c>
      <c r="K34" s="83">
        <f>294.4+810.8</f>
        <v>1105.1999999999998</v>
      </c>
      <c r="L34" s="84">
        <f>254.1+2043.5</f>
        <v>2297.6</v>
      </c>
      <c r="M34" s="65">
        <f t="shared" si="1"/>
        <v>1343.3</v>
      </c>
      <c r="N34" s="84">
        <f>132.5+1210.8</f>
        <v>1343.3</v>
      </c>
      <c r="O34" s="83"/>
      <c r="P34" s="85">
        <f>Q34+R34</f>
        <v>0</v>
      </c>
      <c r="Q34" s="83"/>
      <c r="R34" s="83"/>
      <c r="S34" s="85"/>
      <c r="T34" s="83"/>
      <c r="U34" s="86"/>
    </row>
    <row r="35" spans="1:21" ht="132" customHeight="1">
      <c r="A35" s="140" t="s">
        <v>103</v>
      </c>
      <c r="B35" s="106" t="s">
        <v>125</v>
      </c>
      <c r="C35" s="106" t="s">
        <v>324</v>
      </c>
      <c r="D35" s="106" t="s">
        <v>325</v>
      </c>
      <c r="E35" s="106" t="s">
        <v>104</v>
      </c>
      <c r="F35" s="106" t="s">
        <v>69</v>
      </c>
      <c r="G35" s="106" t="s">
        <v>105</v>
      </c>
      <c r="H35" s="14" t="s">
        <v>326</v>
      </c>
      <c r="I35" s="14" t="s">
        <v>327</v>
      </c>
      <c r="J35" s="23">
        <f>34812+26802.9</f>
        <v>61614.9</v>
      </c>
      <c r="K35" s="23">
        <f>34812+26759.2</f>
        <v>61571.2</v>
      </c>
      <c r="L35" s="23">
        <f>40268.5+17742.1</f>
        <v>58010.6</v>
      </c>
      <c r="M35" s="65">
        <f t="shared" si="1"/>
        <v>62216.3</v>
      </c>
      <c r="N35" s="24">
        <v>62216.3</v>
      </c>
      <c r="O35" s="24"/>
      <c r="P35" s="66">
        <f>Q35+R35</f>
        <v>61625.6</v>
      </c>
      <c r="Q35" s="24">
        <v>61625.6</v>
      </c>
      <c r="R35" s="24"/>
      <c r="S35" s="66">
        <f>T35+U35</f>
        <v>61625.6</v>
      </c>
      <c r="T35" s="24">
        <v>61625.6</v>
      </c>
      <c r="U35" s="24"/>
    </row>
    <row r="36" spans="1:21" ht="179.25" customHeight="1">
      <c r="A36" s="140" t="s">
        <v>111</v>
      </c>
      <c r="B36" s="104" t="s">
        <v>245</v>
      </c>
      <c r="C36" s="104" t="s">
        <v>246</v>
      </c>
      <c r="D36" s="104" t="s">
        <v>247</v>
      </c>
      <c r="E36" s="106" t="s">
        <v>248</v>
      </c>
      <c r="F36" s="106" t="s">
        <v>129</v>
      </c>
      <c r="G36" s="106" t="s">
        <v>130</v>
      </c>
      <c r="H36" s="14" t="s">
        <v>249</v>
      </c>
      <c r="I36" s="14" t="s">
        <v>250</v>
      </c>
      <c r="J36" s="23">
        <f>10+806.4</f>
        <v>816.4</v>
      </c>
      <c r="K36" s="23">
        <f>3.2+806.4</f>
        <v>809.6</v>
      </c>
      <c r="L36" s="23">
        <f>326.4+2.5+1061.4</f>
        <v>1390.3000000000002</v>
      </c>
      <c r="M36" s="65">
        <f t="shared" si="1"/>
        <v>1241.6</v>
      </c>
      <c r="N36" s="24">
        <f>2.3+1239.3</f>
        <v>1241.6</v>
      </c>
      <c r="O36" s="24"/>
      <c r="P36" s="66">
        <f>Q36</f>
        <v>1153.3</v>
      </c>
      <c r="Q36" s="24">
        <f>2.3+1151</f>
        <v>1153.3</v>
      </c>
      <c r="R36" s="24"/>
      <c r="S36" s="66">
        <f>T36</f>
        <v>471.3</v>
      </c>
      <c r="T36" s="24">
        <f>2.3+469</f>
        <v>471.3</v>
      </c>
      <c r="U36" s="24"/>
    </row>
    <row r="37" spans="1:21" ht="228" customHeight="1">
      <c r="A37" s="106" t="s">
        <v>75</v>
      </c>
      <c r="B37" s="125"/>
      <c r="C37" s="125"/>
      <c r="D37" s="125"/>
      <c r="E37" s="9" t="s">
        <v>109</v>
      </c>
      <c r="F37" s="124" t="s">
        <v>69</v>
      </c>
      <c r="G37" s="126">
        <v>42005</v>
      </c>
      <c r="H37" s="22" t="s">
        <v>50</v>
      </c>
      <c r="I37" s="22" t="s">
        <v>76</v>
      </c>
      <c r="J37" s="23">
        <f>5+30+20+480</f>
        <v>535</v>
      </c>
      <c r="K37" s="23">
        <f>5+30+6.6+130</f>
        <v>171.6</v>
      </c>
      <c r="L37" s="23">
        <f>10.3+21+13.6+50+566.7</f>
        <v>661.6</v>
      </c>
      <c r="M37" s="65">
        <f t="shared" si="1"/>
        <v>0</v>
      </c>
      <c r="N37" s="24"/>
      <c r="O37" s="24"/>
      <c r="P37" s="66"/>
      <c r="Q37" s="24"/>
      <c r="R37" s="24"/>
      <c r="S37" s="66"/>
      <c r="T37" s="24"/>
      <c r="U37" s="24"/>
    </row>
    <row r="38" spans="1:21" ht="154.5" customHeight="1">
      <c r="A38" s="127" t="s">
        <v>63</v>
      </c>
      <c r="B38" s="127" t="s">
        <v>251</v>
      </c>
      <c r="C38" s="127" t="s">
        <v>252</v>
      </c>
      <c r="D38" s="128" t="s">
        <v>253</v>
      </c>
      <c r="E38" s="9" t="s">
        <v>254</v>
      </c>
      <c r="F38" s="106" t="s">
        <v>255</v>
      </c>
      <c r="G38" s="118" t="s">
        <v>256</v>
      </c>
      <c r="H38" s="35" t="s">
        <v>257</v>
      </c>
      <c r="I38" s="35" t="s">
        <v>258</v>
      </c>
      <c r="J38" s="23">
        <f>55.6+165+295</f>
        <v>515.6</v>
      </c>
      <c r="K38" s="23">
        <f>45.3+161.3</f>
        <v>206.60000000000002</v>
      </c>
      <c r="L38" s="23">
        <f>61.2+51</f>
        <v>112.2</v>
      </c>
      <c r="M38" s="65">
        <f t="shared" si="1"/>
        <v>13952.6</v>
      </c>
      <c r="N38" s="36">
        <f>7407.8+6544.8</f>
        <v>13952.6</v>
      </c>
      <c r="O38" s="36"/>
      <c r="P38" s="67">
        <v>6811.8</v>
      </c>
      <c r="Q38" s="36">
        <v>6811.8</v>
      </c>
      <c r="R38" s="36"/>
      <c r="S38" s="67">
        <v>6811.8</v>
      </c>
      <c r="T38" s="36">
        <v>6811.8</v>
      </c>
      <c r="U38" s="36"/>
    </row>
    <row r="39" spans="1:21" ht="259.5" customHeight="1">
      <c r="A39" s="127" t="s">
        <v>64</v>
      </c>
      <c r="B39" s="127" t="s">
        <v>57</v>
      </c>
      <c r="C39" s="127" t="s">
        <v>62</v>
      </c>
      <c r="D39" s="128">
        <v>37900</v>
      </c>
      <c r="E39" s="10" t="s">
        <v>96</v>
      </c>
      <c r="F39" s="124" t="s">
        <v>69</v>
      </c>
      <c r="G39" s="119" t="s">
        <v>77</v>
      </c>
      <c r="H39" s="35" t="s">
        <v>66</v>
      </c>
      <c r="I39" s="35" t="s">
        <v>67</v>
      </c>
      <c r="J39" s="23">
        <f>2333.1+5266.5+3417.8+2506.8+5991.6</f>
        <v>19515.800000000003</v>
      </c>
      <c r="K39" s="23">
        <f>1721.2+2675.8+2892.4+1434.9+3747.6</f>
        <v>12471.9</v>
      </c>
      <c r="L39" s="23">
        <f>2626.6+4726.8+2899.1+2248.4+7733.2</f>
        <v>20234.1</v>
      </c>
      <c r="M39" s="65">
        <f t="shared" si="1"/>
        <v>13092.2</v>
      </c>
      <c r="N39" s="36">
        <v>13092.2</v>
      </c>
      <c r="O39" s="36"/>
      <c r="P39" s="67">
        <v>9762.9</v>
      </c>
      <c r="Q39" s="36">
        <v>9762.9</v>
      </c>
      <c r="R39" s="36"/>
      <c r="S39" s="67">
        <v>10736.3</v>
      </c>
      <c r="T39" s="36">
        <v>10736.3</v>
      </c>
      <c r="U39" s="36"/>
    </row>
    <row r="40" spans="1:21" ht="201" customHeight="1">
      <c r="A40" s="61" t="s">
        <v>78</v>
      </c>
      <c r="B40" s="106" t="s">
        <v>97</v>
      </c>
      <c r="C40" s="106" t="s">
        <v>98</v>
      </c>
      <c r="D40" s="106" t="s">
        <v>99</v>
      </c>
      <c r="E40" s="9" t="s">
        <v>259</v>
      </c>
      <c r="F40" s="124" t="s">
        <v>69</v>
      </c>
      <c r="G40" s="118" t="s">
        <v>260</v>
      </c>
      <c r="H40" s="14" t="s">
        <v>219</v>
      </c>
      <c r="I40" s="14" t="s">
        <v>131</v>
      </c>
      <c r="J40" s="23">
        <f>90.5+80+19.1+157.6+32481.2</f>
        <v>32828.4</v>
      </c>
      <c r="K40" s="23">
        <f>90+41+17.5+157.6+29768.4</f>
        <v>30074.5</v>
      </c>
      <c r="L40" s="23">
        <f>94.1+65+24+130+8607.3</f>
        <v>8920.4</v>
      </c>
      <c r="M40" s="65">
        <f t="shared" si="1"/>
        <v>5494.4</v>
      </c>
      <c r="N40" s="36">
        <v>5494.4</v>
      </c>
      <c r="O40" s="36"/>
      <c r="P40" s="67"/>
      <c r="Q40" s="36"/>
      <c r="R40" s="36"/>
      <c r="S40" s="67"/>
      <c r="T40" s="36"/>
      <c r="U40" s="36"/>
    </row>
    <row r="41" spans="1:21" ht="106.5" customHeight="1">
      <c r="A41" s="106" t="s">
        <v>86</v>
      </c>
      <c r="B41" s="124"/>
      <c r="C41" s="124"/>
      <c r="D41" s="124"/>
      <c r="E41" s="10" t="s">
        <v>87</v>
      </c>
      <c r="F41" s="124" t="s">
        <v>69</v>
      </c>
      <c r="G41" s="118" t="s">
        <v>88</v>
      </c>
      <c r="H41" s="22" t="s">
        <v>49</v>
      </c>
      <c r="I41" s="22" t="s">
        <v>48</v>
      </c>
      <c r="J41" s="25">
        <v>3228.7</v>
      </c>
      <c r="K41" s="25">
        <v>3181.7</v>
      </c>
      <c r="L41" s="25">
        <v>0</v>
      </c>
      <c r="M41" s="65">
        <f t="shared" si="1"/>
        <v>0</v>
      </c>
      <c r="N41" s="37"/>
      <c r="O41" s="37"/>
      <c r="P41" s="68"/>
      <c r="Q41" s="37"/>
      <c r="R41" s="37"/>
      <c r="S41" s="68"/>
      <c r="T41" s="37"/>
      <c r="U41" s="37"/>
    </row>
    <row r="42" spans="1:21" ht="217.5" customHeight="1">
      <c r="A42" s="137" t="s">
        <v>65</v>
      </c>
      <c r="B42" s="105" t="s">
        <v>57</v>
      </c>
      <c r="C42" s="122" t="s">
        <v>62</v>
      </c>
      <c r="D42" s="123">
        <v>37900</v>
      </c>
      <c r="E42" s="10" t="s">
        <v>110</v>
      </c>
      <c r="F42" s="124" t="s">
        <v>69</v>
      </c>
      <c r="G42" s="106" t="s">
        <v>89</v>
      </c>
      <c r="H42" s="1" t="s">
        <v>49</v>
      </c>
      <c r="I42" s="1" t="s">
        <v>48</v>
      </c>
      <c r="J42" s="21">
        <f>785+119.6</f>
        <v>904.6</v>
      </c>
      <c r="K42" s="21">
        <f>746+119.6</f>
        <v>865.6</v>
      </c>
      <c r="L42" s="21">
        <f>869.7+695.7+322+140</f>
        <v>2027.4</v>
      </c>
      <c r="M42" s="65">
        <f t="shared" si="1"/>
        <v>2042.8</v>
      </c>
      <c r="N42" s="21">
        <v>2042.8</v>
      </c>
      <c r="O42" s="21"/>
      <c r="P42" s="20">
        <v>1877.8</v>
      </c>
      <c r="Q42" s="21">
        <v>1877.8</v>
      </c>
      <c r="R42" s="21"/>
      <c r="S42" s="20">
        <v>1877.8</v>
      </c>
      <c r="T42" s="21">
        <v>1877.8</v>
      </c>
      <c r="U42" s="21"/>
    </row>
    <row r="43" spans="1:21" ht="75" customHeight="1">
      <c r="A43" s="119" t="s">
        <v>261</v>
      </c>
      <c r="B43" s="104" t="s">
        <v>262</v>
      </c>
      <c r="C43" s="104" t="s">
        <v>263</v>
      </c>
      <c r="D43" s="104" t="s">
        <v>264</v>
      </c>
      <c r="E43" s="104"/>
      <c r="F43" s="104"/>
      <c r="G43" s="108"/>
      <c r="H43" s="101" t="s">
        <v>74</v>
      </c>
      <c r="I43" s="101" t="s">
        <v>48</v>
      </c>
      <c r="J43" s="54"/>
      <c r="K43" s="54"/>
      <c r="L43" s="54">
        <v>3.8</v>
      </c>
      <c r="M43" s="65">
        <f t="shared" si="1"/>
        <v>3.8</v>
      </c>
      <c r="N43" s="54">
        <v>3.8</v>
      </c>
      <c r="O43" s="54"/>
      <c r="P43" s="79">
        <f>Q43</f>
        <v>3.8</v>
      </c>
      <c r="Q43" s="54">
        <v>3.8</v>
      </c>
      <c r="R43" s="54"/>
      <c r="S43" s="79">
        <f>T43</f>
        <v>3.8</v>
      </c>
      <c r="T43" s="54">
        <v>3.8</v>
      </c>
      <c r="U43" s="54"/>
    </row>
    <row r="44" spans="1:21" ht="71.25" customHeight="1">
      <c r="A44" s="119" t="s">
        <v>265</v>
      </c>
      <c r="B44" s="104" t="s">
        <v>262</v>
      </c>
      <c r="C44" s="104" t="s">
        <v>266</v>
      </c>
      <c r="D44" s="104" t="s">
        <v>264</v>
      </c>
      <c r="E44" s="104"/>
      <c r="F44" s="104"/>
      <c r="G44" s="108"/>
      <c r="H44" s="101" t="s">
        <v>49</v>
      </c>
      <c r="I44" s="101" t="s">
        <v>71</v>
      </c>
      <c r="J44" s="54"/>
      <c r="K44" s="54"/>
      <c r="L44" s="54"/>
      <c r="M44" s="65">
        <f t="shared" si="1"/>
        <v>1428.6</v>
      </c>
      <c r="N44" s="54">
        <v>1428.6</v>
      </c>
      <c r="O44" s="54"/>
      <c r="P44" s="79"/>
      <c r="Q44" s="54"/>
      <c r="R44" s="54"/>
      <c r="S44" s="79"/>
      <c r="T44" s="54"/>
      <c r="U44" s="54"/>
    </row>
    <row r="45" spans="1:21" ht="409.5" customHeight="1">
      <c r="A45" s="106" t="s">
        <v>79</v>
      </c>
      <c r="B45" s="125"/>
      <c r="C45" s="125"/>
      <c r="D45" s="125"/>
      <c r="E45" s="9" t="s">
        <v>267</v>
      </c>
      <c r="F45" s="106" t="s">
        <v>268</v>
      </c>
      <c r="G45" s="118" t="s">
        <v>269</v>
      </c>
      <c r="H45" s="14" t="s">
        <v>270</v>
      </c>
      <c r="I45" s="14" t="s">
        <v>271</v>
      </c>
      <c r="J45" s="23">
        <f>0.5+0.5+0.5+1+5.4</f>
        <v>7.9</v>
      </c>
      <c r="K45" s="23">
        <v>0</v>
      </c>
      <c r="L45" s="23">
        <f>0.5+0.5+0.5+1+3+916.2</f>
        <v>921.7</v>
      </c>
      <c r="M45" s="65">
        <f t="shared" si="1"/>
        <v>0</v>
      </c>
      <c r="N45" s="21">
        <v>0</v>
      </c>
      <c r="O45" s="21"/>
      <c r="P45" s="20"/>
      <c r="Q45" s="21"/>
      <c r="R45" s="21"/>
      <c r="S45" s="20"/>
      <c r="T45" s="21"/>
      <c r="U45" s="21"/>
    </row>
    <row r="46" spans="1:21" ht="327.75" customHeight="1">
      <c r="A46" s="137" t="s">
        <v>61</v>
      </c>
      <c r="B46" s="105" t="s">
        <v>57</v>
      </c>
      <c r="C46" s="105" t="s">
        <v>272</v>
      </c>
      <c r="D46" s="123">
        <v>37900</v>
      </c>
      <c r="E46" s="109" t="s">
        <v>114</v>
      </c>
      <c r="F46" s="129" t="s">
        <v>69</v>
      </c>
      <c r="G46" s="130" t="s">
        <v>80</v>
      </c>
      <c r="H46" s="14" t="s">
        <v>273</v>
      </c>
      <c r="I46" s="14" t="s">
        <v>274</v>
      </c>
      <c r="J46" s="23">
        <f>2789.9+1195.8+997.2+1998.4+17573.9</f>
        <v>24555.2</v>
      </c>
      <c r="K46" s="23">
        <f>2682.9+1195.2+921.5+1430+11848.5</f>
        <v>18078.1</v>
      </c>
      <c r="L46" s="23">
        <f>177.1+1586.5+308.6+3039.4+93107.9+1454.7</f>
        <v>99674.2</v>
      </c>
      <c r="M46" s="65">
        <f t="shared" si="1"/>
        <v>13177.7</v>
      </c>
      <c r="N46" s="21">
        <v>13177.7</v>
      </c>
      <c r="O46" s="21"/>
      <c r="P46" s="20">
        <v>6602.4</v>
      </c>
      <c r="Q46" s="21">
        <v>6602.4</v>
      </c>
      <c r="R46" s="21"/>
      <c r="S46" s="20">
        <v>6601.2</v>
      </c>
      <c r="T46" s="21">
        <v>6601.2</v>
      </c>
      <c r="U46" s="21"/>
    </row>
    <row r="47" spans="1:21" ht="161.25" customHeight="1">
      <c r="A47" s="144" t="s">
        <v>41</v>
      </c>
      <c r="B47" s="131" t="s">
        <v>7</v>
      </c>
      <c r="C47" s="131" t="s">
        <v>7</v>
      </c>
      <c r="D47" s="131" t="s">
        <v>7</v>
      </c>
      <c r="E47" s="131" t="s">
        <v>7</v>
      </c>
      <c r="F47" s="131" t="s">
        <v>7</v>
      </c>
      <c r="G47" s="131" t="s">
        <v>7</v>
      </c>
      <c r="H47" s="13" t="s">
        <v>7</v>
      </c>
      <c r="I47" s="13" t="s">
        <v>7</v>
      </c>
      <c r="J47" s="20">
        <f aca="true" t="shared" si="4" ref="J47:U47">SUM(J49:J55)</f>
        <v>106212.7</v>
      </c>
      <c r="K47" s="20">
        <f t="shared" si="4"/>
        <v>103184.09999999999</v>
      </c>
      <c r="L47" s="20">
        <f t="shared" si="4"/>
        <v>114558.90000000001</v>
      </c>
      <c r="M47" s="20">
        <f t="shared" si="4"/>
        <v>137615.3</v>
      </c>
      <c r="N47" s="20">
        <f t="shared" si="4"/>
        <v>136362.4</v>
      </c>
      <c r="O47" s="20">
        <f t="shared" si="4"/>
        <v>1252.9</v>
      </c>
      <c r="P47" s="20">
        <f t="shared" si="4"/>
        <v>123158.09999999999</v>
      </c>
      <c r="Q47" s="20">
        <f t="shared" si="4"/>
        <v>123158.09999999999</v>
      </c>
      <c r="R47" s="20">
        <f t="shared" si="4"/>
        <v>0</v>
      </c>
      <c r="S47" s="20">
        <f t="shared" si="4"/>
        <v>123177</v>
      </c>
      <c r="T47" s="20">
        <f t="shared" si="4"/>
        <v>123177</v>
      </c>
      <c r="U47" s="20">
        <f t="shared" si="4"/>
        <v>0</v>
      </c>
    </row>
    <row r="48" spans="1:21" ht="15" customHeight="1">
      <c r="A48" s="137" t="s">
        <v>9</v>
      </c>
      <c r="B48" s="112"/>
      <c r="C48" s="112"/>
      <c r="D48" s="112"/>
      <c r="E48" s="112"/>
      <c r="F48" s="112"/>
      <c r="G48" s="112"/>
      <c r="H48" s="22"/>
      <c r="I48" s="1"/>
      <c r="J48" s="21"/>
      <c r="K48" s="21"/>
      <c r="L48" s="21"/>
      <c r="M48" s="20"/>
      <c r="N48" s="21"/>
      <c r="O48" s="21"/>
      <c r="P48" s="20"/>
      <c r="Q48" s="21"/>
      <c r="R48" s="21"/>
      <c r="S48" s="20"/>
      <c r="T48" s="21"/>
      <c r="U48" s="21"/>
    </row>
    <row r="49" spans="1:21" ht="297.75" customHeight="1">
      <c r="A49" s="9" t="s">
        <v>81</v>
      </c>
      <c r="B49" s="104" t="s">
        <v>275</v>
      </c>
      <c r="C49" s="104" t="s">
        <v>276</v>
      </c>
      <c r="D49" s="104" t="s">
        <v>277</v>
      </c>
      <c r="E49" s="10" t="s">
        <v>278</v>
      </c>
      <c r="F49" s="106" t="s">
        <v>279</v>
      </c>
      <c r="G49" s="119" t="s">
        <v>280</v>
      </c>
      <c r="H49" s="14" t="s">
        <v>349</v>
      </c>
      <c r="I49" s="14" t="s">
        <v>350</v>
      </c>
      <c r="J49" s="23">
        <f>2108.1+1779.6+1354+60+2023.8+3915+11.5+67.9+31763.7+1180.5+1170.6+2352.9+475.1</f>
        <v>48262.7</v>
      </c>
      <c r="K49" s="23">
        <f>2095.4+1767.4+1318.7+60+1960.2+3755.2+11.5+68+30086.5+1178.1+1165.4+2324.6+475.1</f>
        <v>46266.1</v>
      </c>
      <c r="L49" s="23">
        <f>2414.4+2088.2+1647.1+60+2328+4532.7+35479+1381.2+1383.4+2279.3+375.7</f>
        <v>53969</v>
      </c>
      <c r="M49" s="20">
        <f>N49+O49</f>
        <v>52769.2</v>
      </c>
      <c r="N49" s="21">
        <f>46037.8+1506+1499+3132.2</f>
        <v>52175</v>
      </c>
      <c r="O49" s="21">
        <f>496.9+24.1+24.1+49.1</f>
        <v>594.2</v>
      </c>
      <c r="P49" s="20">
        <f>Q49+R49</f>
        <v>41733.1</v>
      </c>
      <c r="Q49" s="21">
        <f>35505.2+1523.5+1523.1+3181.3</f>
        <v>41733.1</v>
      </c>
      <c r="R49" s="21"/>
      <c r="S49" s="20">
        <f>T49+U49</f>
        <v>41728.3</v>
      </c>
      <c r="T49" s="21">
        <f>35500.4+1523.5+1523.1+3181.3</f>
        <v>41728.3</v>
      </c>
      <c r="U49" s="21"/>
    </row>
    <row r="50" spans="1:21" ht="96.75" customHeight="1">
      <c r="A50" s="137" t="s">
        <v>42</v>
      </c>
      <c r="B50" s="132"/>
      <c r="C50" s="132"/>
      <c r="D50" s="132"/>
      <c r="E50" s="10" t="s">
        <v>112</v>
      </c>
      <c r="F50" s="124" t="s">
        <v>69</v>
      </c>
      <c r="G50" s="114" t="s">
        <v>113</v>
      </c>
      <c r="H50" s="22" t="s">
        <v>49</v>
      </c>
      <c r="I50" s="1" t="s">
        <v>49</v>
      </c>
      <c r="J50" s="21">
        <f>2817.6</f>
        <v>2817.6</v>
      </c>
      <c r="K50" s="21">
        <f>2817.6</f>
        <v>2817.6</v>
      </c>
      <c r="L50" s="21">
        <f>3047.8</f>
        <v>3047.8</v>
      </c>
      <c r="M50" s="20">
        <v>16913.3</v>
      </c>
      <c r="N50" s="21">
        <v>16759.3</v>
      </c>
      <c r="O50" s="21">
        <v>154</v>
      </c>
      <c r="P50" s="20">
        <v>16713.3</v>
      </c>
      <c r="Q50" s="21">
        <v>16713.3</v>
      </c>
      <c r="R50" s="21"/>
      <c r="S50" s="20">
        <v>16713.3</v>
      </c>
      <c r="T50" s="21">
        <v>16713.3</v>
      </c>
      <c r="U50" s="21"/>
    </row>
    <row r="51" spans="1:21" ht="127.5" customHeight="1">
      <c r="A51" s="137" t="s">
        <v>132</v>
      </c>
      <c r="B51" s="56" t="s">
        <v>133</v>
      </c>
      <c r="C51" s="56" t="s">
        <v>134</v>
      </c>
      <c r="D51" s="56" t="s">
        <v>135</v>
      </c>
      <c r="E51" s="56" t="s">
        <v>136</v>
      </c>
      <c r="F51" s="56" t="s">
        <v>137</v>
      </c>
      <c r="G51" s="133" t="s">
        <v>138</v>
      </c>
      <c r="H51" s="99" t="s">
        <v>351</v>
      </c>
      <c r="I51" s="99" t="s">
        <v>352</v>
      </c>
      <c r="J51" s="53">
        <f>2111.5+14054.3+14882+21674.5</f>
        <v>52722.3</v>
      </c>
      <c r="K51" s="53">
        <f>2036.8+13565.2+14572.2+21516.5</f>
        <v>51690.7</v>
      </c>
      <c r="L51" s="55">
        <f>2240.8+13176.9+15322+22509.7</f>
        <v>53249.4</v>
      </c>
      <c r="M51" s="65">
        <f>N51+O51</f>
        <v>63288.5</v>
      </c>
      <c r="N51" s="55">
        <f>16566.9+14696.5+13166.4+18354</f>
        <v>62783.8</v>
      </c>
      <c r="O51" s="55">
        <f>150.5+179+175.2</f>
        <v>504.7</v>
      </c>
      <c r="P51" s="65">
        <f>Q51+R51</f>
        <v>62530</v>
      </c>
      <c r="Q51" s="55">
        <f>16405.8+14689.7+13423+18011.5</f>
        <v>62530</v>
      </c>
      <c r="R51" s="55">
        <v>0</v>
      </c>
      <c r="S51" s="65">
        <f>T51+U51</f>
        <v>62530</v>
      </c>
      <c r="T51" s="55">
        <f>16405.8+14689.7+13423+18011.5</f>
        <v>62530</v>
      </c>
      <c r="U51" s="55">
        <v>0</v>
      </c>
    </row>
    <row r="52" spans="1:21" ht="132.75" customHeight="1">
      <c r="A52" s="106" t="s">
        <v>82</v>
      </c>
      <c r="B52" s="132"/>
      <c r="C52" s="132"/>
      <c r="D52" s="132"/>
      <c r="E52" s="106" t="s">
        <v>90</v>
      </c>
      <c r="F52" s="124" t="s">
        <v>69</v>
      </c>
      <c r="G52" s="126">
        <v>42005</v>
      </c>
      <c r="H52" s="22" t="s">
        <v>71</v>
      </c>
      <c r="I52" s="22" t="s">
        <v>72</v>
      </c>
      <c r="J52" s="23">
        <f>27.8+8.7</f>
        <v>36.5</v>
      </c>
      <c r="K52" s="23">
        <f>27.8+8.7</f>
        <v>36.5</v>
      </c>
      <c r="L52" s="23">
        <f>12</f>
        <v>12</v>
      </c>
      <c r="M52" s="20"/>
      <c r="N52" s="21"/>
      <c r="O52" s="21"/>
      <c r="P52" s="20"/>
      <c r="Q52" s="21"/>
      <c r="R52" s="21"/>
      <c r="S52" s="20"/>
      <c r="T52" s="21"/>
      <c r="U52" s="21"/>
    </row>
    <row r="53" spans="1:21" ht="138.75" customHeight="1">
      <c r="A53" s="106" t="s">
        <v>281</v>
      </c>
      <c r="B53" s="104" t="s">
        <v>282</v>
      </c>
      <c r="C53" s="104" t="s">
        <v>283</v>
      </c>
      <c r="D53" s="104" t="s">
        <v>284</v>
      </c>
      <c r="E53" s="104" t="s">
        <v>285</v>
      </c>
      <c r="F53" s="104" t="s">
        <v>286</v>
      </c>
      <c r="G53" s="104" t="s">
        <v>287</v>
      </c>
      <c r="H53" s="99" t="s">
        <v>76</v>
      </c>
      <c r="I53" s="99" t="s">
        <v>51</v>
      </c>
      <c r="J53" s="54">
        <f>1811.5+390.9+30</f>
        <v>2232.4</v>
      </c>
      <c r="K53" s="54">
        <f>1811.5+390.9+30</f>
        <v>2232.4</v>
      </c>
      <c r="L53" s="54">
        <f>4035+50+61.8</f>
        <v>4146.8</v>
      </c>
      <c r="M53" s="79">
        <f>N53+O53</f>
        <v>4396.8</v>
      </c>
      <c r="N53" s="54">
        <v>4396.8</v>
      </c>
      <c r="O53" s="54"/>
      <c r="P53" s="79">
        <f>Q53+R53</f>
        <v>2115.5</v>
      </c>
      <c r="Q53" s="54">
        <v>2115.5</v>
      </c>
      <c r="R53" s="54"/>
      <c r="S53" s="79">
        <f>T53+U53</f>
        <v>2115.5</v>
      </c>
      <c r="T53" s="54">
        <v>2115.5</v>
      </c>
      <c r="U53" s="54"/>
    </row>
    <row r="54" spans="1:21" ht="180" customHeight="1">
      <c r="A54" s="137" t="s">
        <v>139</v>
      </c>
      <c r="B54" s="56" t="s">
        <v>117</v>
      </c>
      <c r="C54" s="56" t="s">
        <v>140</v>
      </c>
      <c r="D54" s="56" t="s">
        <v>141</v>
      </c>
      <c r="E54" s="107" t="s">
        <v>120</v>
      </c>
      <c r="F54" s="107" t="s">
        <v>142</v>
      </c>
      <c r="G54" s="107" t="s">
        <v>122</v>
      </c>
      <c r="H54" s="75" t="s">
        <v>288</v>
      </c>
      <c r="I54" s="75" t="s">
        <v>289</v>
      </c>
      <c r="J54" s="53">
        <f>2.5+70.7</f>
        <v>73.2</v>
      </c>
      <c r="K54" s="53">
        <f>2.5+70.3</f>
        <v>72.8</v>
      </c>
      <c r="L54" s="53">
        <f>12+121.9</f>
        <v>133.9</v>
      </c>
      <c r="M54" s="69">
        <f>N54</f>
        <v>137.5</v>
      </c>
      <c r="N54" s="53">
        <f>26+111.5</f>
        <v>137.5</v>
      </c>
      <c r="O54" s="53">
        <v>0</v>
      </c>
      <c r="P54" s="69">
        <f>Q54</f>
        <v>16.2</v>
      </c>
      <c r="Q54" s="53">
        <f>4+12.2</f>
        <v>16.2</v>
      </c>
      <c r="R54" s="53">
        <v>0</v>
      </c>
      <c r="S54" s="69">
        <f>T54</f>
        <v>39.9</v>
      </c>
      <c r="T54" s="53">
        <f>12+27.9</f>
        <v>39.9</v>
      </c>
      <c r="U54" s="53">
        <v>0</v>
      </c>
    </row>
    <row r="55" spans="1:21" ht="164.25" customHeight="1">
      <c r="A55" s="141" t="s">
        <v>53</v>
      </c>
      <c r="B55" s="105" t="s">
        <v>57</v>
      </c>
      <c r="C55" s="122" t="s">
        <v>62</v>
      </c>
      <c r="D55" s="123">
        <v>37900</v>
      </c>
      <c r="E55" s="10" t="s">
        <v>93</v>
      </c>
      <c r="F55" s="124" t="s">
        <v>69</v>
      </c>
      <c r="G55" s="118" t="s">
        <v>83</v>
      </c>
      <c r="H55" s="22" t="s">
        <v>49</v>
      </c>
      <c r="I55" s="22" t="s">
        <v>48</v>
      </c>
      <c r="J55" s="23">
        <f>30+38</f>
        <v>68</v>
      </c>
      <c r="K55" s="23">
        <f>30+38</f>
        <v>68</v>
      </c>
      <c r="L55" s="23">
        <v>0</v>
      </c>
      <c r="M55" s="20">
        <v>110</v>
      </c>
      <c r="N55" s="21">
        <v>110</v>
      </c>
      <c r="O55" s="21"/>
      <c r="P55" s="20">
        <v>50</v>
      </c>
      <c r="Q55" s="21">
        <v>50</v>
      </c>
      <c r="R55" s="21"/>
      <c r="S55" s="20">
        <v>50</v>
      </c>
      <c r="T55" s="21">
        <v>50</v>
      </c>
      <c r="U55" s="21"/>
    </row>
    <row r="56" spans="1:21" ht="138.75" customHeight="1">
      <c r="A56" s="139" t="s">
        <v>43</v>
      </c>
      <c r="B56" s="131" t="s">
        <v>7</v>
      </c>
      <c r="C56" s="131" t="s">
        <v>7</v>
      </c>
      <c r="D56" s="131" t="s">
        <v>7</v>
      </c>
      <c r="E56" s="131" t="s">
        <v>7</v>
      </c>
      <c r="F56" s="131" t="s">
        <v>7</v>
      </c>
      <c r="G56" s="131" t="s">
        <v>7</v>
      </c>
      <c r="H56" s="13" t="s">
        <v>7</v>
      </c>
      <c r="I56" s="13" t="s">
        <v>7</v>
      </c>
      <c r="J56" s="20">
        <f aca="true" t="shared" si="5" ref="J56:U56">J57+J90</f>
        <v>152337.79999999996</v>
      </c>
      <c r="K56" s="20">
        <f t="shared" si="5"/>
        <v>146883.89999999997</v>
      </c>
      <c r="L56" s="20">
        <f t="shared" si="5"/>
        <v>159222.1</v>
      </c>
      <c r="M56" s="20">
        <f t="shared" si="5"/>
        <v>179784.1</v>
      </c>
      <c r="N56" s="20">
        <f t="shared" si="5"/>
        <v>179784.1</v>
      </c>
      <c r="O56" s="20">
        <f t="shared" si="5"/>
        <v>0</v>
      </c>
      <c r="P56" s="20">
        <f t="shared" si="5"/>
        <v>184738.7</v>
      </c>
      <c r="Q56" s="20">
        <f t="shared" si="5"/>
        <v>184738.7</v>
      </c>
      <c r="R56" s="20">
        <f t="shared" si="5"/>
        <v>0</v>
      </c>
      <c r="S56" s="20">
        <f t="shared" si="5"/>
        <v>183504.2</v>
      </c>
      <c r="T56" s="20">
        <f t="shared" si="5"/>
        <v>183504.2</v>
      </c>
      <c r="U56" s="20">
        <f t="shared" si="5"/>
        <v>0</v>
      </c>
    </row>
    <row r="57" spans="1:21" ht="48.75" customHeight="1">
      <c r="A57" s="137" t="s">
        <v>36</v>
      </c>
      <c r="B57" s="122" t="s">
        <v>7</v>
      </c>
      <c r="C57" s="122" t="s">
        <v>7</v>
      </c>
      <c r="D57" s="122" t="s">
        <v>7</v>
      </c>
      <c r="E57" s="122" t="s">
        <v>7</v>
      </c>
      <c r="F57" s="122" t="s">
        <v>7</v>
      </c>
      <c r="G57" s="122" t="s">
        <v>7</v>
      </c>
      <c r="H57" s="4" t="s">
        <v>7</v>
      </c>
      <c r="I57" s="4" t="s">
        <v>7</v>
      </c>
      <c r="J57" s="21">
        <f>SUM(J59:J89)</f>
        <v>152337.79999999996</v>
      </c>
      <c r="K57" s="21">
        <f aca="true" t="shared" si="6" ref="K57:U57">SUM(K59:K89)</f>
        <v>146883.89999999997</v>
      </c>
      <c r="L57" s="21">
        <f t="shared" si="6"/>
        <v>159222.1</v>
      </c>
      <c r="M57" s="20">
        <f t="shared" si="6"/>
        <v>179784.1</v>
      </c>
      <c r="N57" s="21">
        <f t="shared" si="6"/>
        <v>179784.1</v>
      </c>
      <c r="O57" s="21">
        <f t="shared" si="6"/>
        <v>0</v>
      </c>
      <c r="P57" s="20">
        <f t="shared" si="6"/>
        <v>184738.7</v>
      </c>
      <c r="Q57" s="21">
        <f t="shared" si="6"/>
        <v>184738.7</v>
      </c>
      <c r="R57" s="21">
        <f t="shared" si="6"/>
        <v>0</v>
      </c>
      <c r="S57" s="20">
        <f t="shared" si="6"/>
        <v>183504.2</v>
      </c>
      <c r="T57" s="21">
        <f t="shared" si="6"/>
        <v>183504.2</v>
      </c>
      <c r="U57" s="21">
        <f t="shared" si="6"/>
        <v>0</v>
      </c>
    </row>
    <row r="58" spans="1:26" ht="23.25" customHeight="1">
      <c r="A58" s="61" t="s">
        <v>9</v>
      </c>
      <c r="B58" s="61"/>
      <c r="C58" s="61"/>
      <c r="D58" s="61"/>
      <c r="E58" s="61"/>
      <c r="F58" s="61"/>
      <c r="G58" s="61"/>
      <c r="H58" s="38"/>
      <c r="I58" s="38"/>
      <c r="J58" s="26"/>
      <c r="K58" s="26"/>
      <c r="L58" s="26"/>
      <c r="M58" s="70"/>
      <c r="N58" s="26"/>
      <c r="O58" s="26"/>
      <c r="P58" s="70"/>
      <c r="Q58" s="26"/>
      <c r="R58" s="26"/>
      <c r="S58" s="70"/>
      <c r="T58" s="26"/>
      <c r="U58" s="26"/>
      <c r="V58" s="27"/>
      <c r="W58" s="27"/>
      <c r="X58" s="27"/>
      <c r="Y58" s="27"/>
      <c r="Z58" s="28"/>
    </row>
    <row r="59" spans="1:26" ht="186" customHeight="1">
      <c r="A59" s="137" t="s">
        <v>353</v>
      </c>
      <c r="B59" s="61" t="s">
        <v>354</v>
      </c>
      <c r="C59" s="61" t="s">
        <v>355</v>
      </c>
      <c r="D59" s="61" t="s">
        <v>356</v>
      </c>
      <c r="E59" s="61" t="s">
        <v>357</v>
      </c>
      <c r="F59" s="61" t="s">
        <v>358</v>
      </c>
      <c r="G59" s="61" t="s">
        <v>359</v>
      </c>
      <c r="H59" s="38" t="s">
        <v>360</v>
      </c>
      <c r="I59" s="38" t="s">
        <v>71</v>
      </c>
      <c r="J59" s="148">
        <v>33523.4</v>
      </c>
      <c r="K59" s="148">
        <v>33523.4</v>
      </c>
      <c r="L59" s="148">
        <v>37891.4</v>
      </c>
      <c r="M59" s="183">
        <f>N59</f>
        <v>37155.3</v>
      </c>
      <c r="N59" s="147">
        <v>37155.3</v>
      </c>
      <c r="O59" s="147">
        <v>0</v>
      </c>
      <c r="P59" s="149">
        <f>Q59</f>
        <v>37155.3</v>
      </c>
      <c r="Q59" s="147">
        <v>37155.3</v>
      </c>
      <c r="R59" s="147">
        <v>0</v>
      </c>
      <c r="S59" s="149">
        <f>T59</f>
        <v>37155.3</v>
      </c>
      <c r="T59" s="147">
        <v>37155.3</v>
      </c>
      <c r="U59" s="147">
        <v>0</v>
      </c>
      <c r="V59" s="60"/>
      <c r="W59" s="60"/>
      <c r="X59" s="60"/>
      <c r="Y59" s="60"/>
      <c r="Z59" s="60"/>
    </row>
    <row r="60" spans="1:26" ht="101.25" customHeight="1">
      <c r="A60" s="106" t="s">
        <v>290</v>
      </c>
      <c r="B60" s="104" t="s">
        <v>291</v>
      </c>
      <c r="C60" s="104" t="s">
        <v>292</v>
      </c>
      <c r="D60" s="104" t="s">
        <v>293</v>
      </c>
      <c r="E60" s="104" t="s">
        <v>294</v>
      </c>
      <c r="F60" s="110" t="s">
        <v>295</v>
      </c>
      <c r="G60" s="104" t="s">
        <v>296</v>
      </c>
      <c r="H60" s="98" t="s">
        <v>71</v>
      </c>
      <c r="I60" s="98" t="s">
        <v>50</v>
      </c>
      <c r="J60" s="54">
        <f>472-2.3+3.3</f>
        <v>473</v>
      </c>
      <c r="K60" s="54">
        <f>472-2.3+3.3</f>
        <v>473</v>
      </c>
      <c r="L60" s="54">
        <f>519+48.5</f>
        <v>567.5</v>
      </c>
      <c r="M60" s="79">
        <f>N60+O60</f>
        <v>600.8</v>
      </c>
      <c r="N60" s="54">
        <v>600.8</v>
      </c>
      <c r="O60" s="54"/>
      <c r="P60" s="79">
        <f>Q60+R60</f>
        <v>600.8</v>
      </c>
      <c r="Q60" s="54">
        <v>600.8</v>
      </c>
      <c r="R60" s="54"/>
      <c r="S60" s="79">
        <f>T60+U60</f>
        <v>600.8</v>
      </c>
      <c r="T60" s="54">
        <v>600.8</v>
      </c>
      <c r="U60" s="54"/>
      <c r="V60" s="60"/>
      <c r="W60" s="60"/>
      <c r="X60" s="60"/>
      <c r="Y60" s="60"/>
      <c r="Z60" s="60"/>
    </row>
    <row r="61" spans="1:26" ht="55.5" customHeight="1">
      <c r="A61" s="142" t="s">
        <v>144</v>
      </c>
      <c r="B61" s="61"/>
      <c r="C61" s="61"/>
      <c r="D61" s="61"/>
      <c r="E61" s="61" t="s">
        <v>145</v>
      </c>
      <c r="F61" s="61" t="s">
        <v>146</v>
      </c>
      <c r="G61" s="61" t="s">
        <v>147</v>
      </c>
      <c r="H61" s="102" t="s">
        <v>50</v>
      </c>
      <c r="I61" s="102" t="s">
        <v>49</v>
      </c>
      <c r="J61" s="87">
        <v>4237.7</v>
      </c>
      <c r="K61" s="87">
        <v>4237.7</v>
      </c>
      <c r="L61" s="88">
        <v>4726.4</v>
      </c>
      <c r="M61" s="89">
        <v>5398.9</v>
      </c>
      <c r="N61" s="90">
        <v>5398.9</v>
      </c>
      <c r="O61" s="90"/>
      <c r="P61" s="89">
        <v>5398.9</v>
      </c>
      <c r="Q61" s="90">
        <v>5398.9</v>
      </c>
      <c r="R61" s="91"/>
      <c r="S61" s="89">
        <v>5398.9</v>
      </c>
      <c r="T61" s="90">
        <v>5398.9</v>
      </c>
      <c r="U61" s="15"/>
      <c r="V61" s="60"/>
      <c r="W61" s="60"/>
      <c r="X61" s="60"/>
      <c r="Y61" s="60"/>
      <c r="Z61" s="60"/>
    </row>
    <row r="62" spans="1:26" ht="131.25" customHeight="1">
      <c r="A62" s="105" t="s">
        <v>361</v>
      </c>
      <c r="B62" s="61" t="s">
        <v>125</v>
      </c>
      <c r="C62" s="61" t="s">
        <v>362</v>
      </c>
      <c r="D62" s="61" t="s">
        <v>215</v>
      </c>
      <c r="E62" s="61" t="s">
        <v>363</v>
      </c>
      <c r="F62" s="61" t="s">
        <v>364</v>
      </c>
      <c r="G62" s="61" t="s">
        <v>365</v>
      </c>
      <c r="H62" s="38" t="s">
        <v>360</v>
      </c>
      <c r="I62" s="38" t="s">
        <v>366</v>
      </c>
      <c r="J62" s="92">
        <v>516.2</v>
      </c>
      <c r="K62" s="92">
        <v>516</v>
      </c>
      <c r="L62" s="92">
        <v>552.8</v>
      </c>
      <c r="M62" s="184">
        <f>N62</f>
        <v>642.3</v>
      </c>
      <c r="N62" s="150">
        <v>642.3</v>
      </c>
      <c r="O62" s="150">
        <v>0</v>
      </c>
      <c r="P62" s="20">
        <f>Q62</f>
        <v>642.3</v>
      </c>
      <c r="Q62" s="150">
        <v>642.3</v>
      </c>
      <c r="R62" s="150">
        <v>0</v>
      </c>
      <c r="S62" s="20">
        <f>T62</f>
        <v>642.3</v>
      </c>
      <c r="T62" s="150">
        <v>642.3</v>
      </c>
      <c r="U62" s="150"/>
      <c r="V62" s="60"/>
      <c r="W62" s="60"/>
      <c r="X62" s="60"/>
      <c r="Y62" s="60"/>
      <c r="Z62" s="60"/>
    </row>
    <row r="63" spans="1:26" ht="63.75" customHeight="1">
      <c r="A63" s="137" t="s">
        <v>367</v>
      </c>
      <c r="B63" s="56" t="s">
        <v>125</v>
      </c>
      <c r="C63" s="56" t="s">
        <v>368</v>
      </c>
      <c r="D63" s="56" t="s">
        <v>369</v>
      </c>
      <c r="E63" s="134" t="s">
        <v>370</v>
      </c>
      <c r="F63" s="135" t="s">
        <v>69</v>
      </c>
      <c r="G63" s="135">
        <v>39332</v>
      </c>
      <c r="H63" s="98" t="s">
        <v>360</v>
      </c>
      <c r="I63" s="98" t="s">
        <v>366</v>
      </c>
      <c r="J63" s="21">
        <v>468.7</v>
      </c>
      <c r="K63" s="21">
        <v>468.7</v>
      </c>
      <c r="L63" s="21">
        <v>563.2</v>
      </c>
      <c r="M63" s="184">
        <f>N63</f>
        <v>596.5</v>
      </c>
      <c r="N63" s="21">
        <v>596.5</v>
      </c>
      <c r="O63" s="21" t="s">
        <v>371</v>
      </c>
      <c r="P63" s="20">
        <f>Q63</f>
        <v>596.5</v>
      </c>
      <c r="Q63" s="21">
        <v>596.5</v>
      </c>
      <c r="R63" s="21" t="s">
        <v>371</v>
      </c>
      <c r="S63" s="20">
        <f>T63</f>
        <v>596.5</v>
      </c>
      <c r="T63" s="21">
        <v>596.5</v>
      </c>
      <c r="U63" s="21" t="s">
        <v>371</v>
      </c>
      <c r="V63" s="60"/>
      <c r="W63" s="60"/>
      <c r="X63" s="60"/>
      <c r="Y63" s="60"/>
      <c r="Z63" s="60"/>
    </row>
    <row r="64" spans="1:26" ht="185.25" customHeight="1">
      <c r="A64" s="137" t="s">
        <v>372</v>
      </c>
      <c r="B64" s="56" t="s">
        <v>354</v>
      </c>
      <c r="C64" s="56" t="s">
        <v>373</v>
      </c>
      <c r="D64" s="56" t="s">
        <v>356</v>
      </c>
      <c r="E64" s="56" t="s">
        <v>357</v>
      </c>
      <c r="F64" s="136" t="s">
        <v>374</v>
      </c>
      <c r="G64" s="56" t="s">
        <v>359</v>
      </c>
      <c r="H64" s="98" t="s">
        <v>360</v>
      </c>
      <c r="I64" s="98" t="s">
        <v>51</v>
      </c>
      <c r="J64" s="21">
        <v>64159.8</v>
      </c>
      <c r="K64" s="21">
        <v>64159.8</v>
      </c>
      <c r="L64" s="21">
        <v>68966.1</v>
      </c>
      <c r="M64" s="184">
        <f>N64</f>
        <v>78865.5</v>
      </c>
      <c r="N64" s="21">
        <v>78865.5</v>
      </c>
      <c r="O64" s="21" t="s">
        <v>371</v>
      </c>
      <c r="P64" s="20">
        <f>Q64</f>
        <v>78865.5</v>
      </c>
      <c r="Q64" s="21">
        <v>78865.5</v>
      </c>
      <c r="R64" s="21" t="s">
        <v>371</v>
      </c>
      <c r="S64" s="20">
        <f>T64</f>
        <v>78865.5</v>
      </c>
      <c r="T64" s="21">
        <v>78865.5</v>
      </c>
      <c r="U64" s="21" t="s">
        <v>371</v>
      </c>
      <c r="V64" s="60"/>
      <c r="W64" s="60"/>
      <c r="X64" s="60"/>
      <c r="Y64" s="60"/>
      <c r="Z64" s="60"/>
    </row>
    <row r="65" spans="1:26" ht="119.25" customHeight="1">
      <c r="A65" s="137" t="s">
        <v>375</v>
      </c>
      <c r="B65" s="56" t="s">
        <v>376</v>
      </c>
      <c r="C65" s="56" t="s">
        <v>377</v>
      </c>
      <c r="D65" s="56" t="s">
        <v>378</v>
      </c>
      <c r="E65" s="56" t="s">
        <v>379</v>
      </c>
      <c r="F65" s="136" t="s">
        <v>380</v>
      </c>
      <c r="G65" s="56" t="s">
        <v>381</v>
      </c>
      <c r="H65" s="98" t="s">
        <v>74</v>
      </c>
      <c r="I65" s="98" t="s">
        <v>50</v>
      </c>
      <c r="J65" s="21">
        <v>1885.1</v>
      </c>
      <c r="K65" s="21">
        <v>1801.2</v>
      </c>
      <c r="L65" s="21">
        <v>1501.6</v>
      </c>
      <c r="M65" s="184">
        <f>N65</f>
        <v>1625.6</v>
      </c>
      <c r="N65" s="21">
        <v>1625.6</v>
      </c>
      <c r="O65" s="21" t="s">
        <v>371</v>
      </c>
      <c r="P65" s="20">
        <f>Q65</f>
        <v>1625.6</v>
      </c>
      <c r="Q65" s="21">
        <v>1625.6</v>
      </c>
      <c r="R65" s="21"/>
      <c r="S65" s="20">
        <f>T65</f>
        <v>1625.6</v>
      </c>
      <c r="T65" s="21">
        <v>1625.6</v>
      </c>
      <c r="U65" s="21" t="s">
        <v>371</v>
      </c>
      <c r="V65" s="60"/>
      <c r="W65" s="60"/>
      <c r="X65" s="60"/>
      <c r="Y65" s="60"/>
      <c r="Z65" s="60"/>
    </row>
    <row r="66" spans="1:26" ht="140.25" customHeight="1">
      <c r="A66" s="137" t="s">
        <v>388</v>
      </c>
      <c r="B66" s="56" t="s">
        <v>382</v>
      </c>
      <c r="C66" s="56" t="s">
        <v>383</v>
      </c>
      <c r="D66" s="56" t="s">
        <v>384</v>
      </c>
      <c r="E66" s="56" t="s">
        <v>385</v>
      </c>
      <c r="F66" s="136" t="s">
        <v>386</v>
      </c>
      <c r="G66" s="56" t="s">
        <v>387</v>
      </c>
      <c r="H66" s="98" t="s">
        <v>360</v>
      </c>
      <c r="I66" s="98" t="s">
        <v>360</v>
      </c>
      <c r="J66" s="21">
        <v>183.4</v>
      </c>
      <c r="K66" s="21">
        <v>183.4</v>
      </c>
      <c r="L66" s="21">
        <v>240.3</v>
      </c>
      <c r="M66" s="184">
        <f>N66</f>
        <v>284.2</v>
      </c>
      <c r="N66" s="21">
        <v>284.2</v>
      </c>
      <c r="O66" s="21" t="s">
        <v>371</v>
      </c>
      <c r="P66" s="20">
        <f>Q66</f>
        <v>284.2</v>
      </c>
      <c r="Q66" s="21">
        <v>284.2</v>
      </c>
      <c r="R66" s="21" t="s">
        <v>371</v>
      </c>
      <c r="S66" s="20">
        <f>T66</f>
        <v>284.2</v>
      </c>
      <c r="T66" s="21">
        <v>284.2</v>
      </c>
      <c r="U66" s="21" t="s">
        <v>371</v>
      </c>
      <c r="V66" s="60"/>
      <c r="W66" s="60"/>
      <c r="X66" s="60"/>
      <c r="Y66" s="60"/>
      <c r="Z66" s="60"/>
    </row>
    <row r="67" spans="1:26" ht="248.25" customHeight="1">
      <c r="A67" s="106" t="s">
        <v>297</v>
      </c>
      <c r="B67" s="104" t="s">
        <v>298</v>
      </c>
      <c r="C67" s="104"/>
      <c r="D67" s="104" t="s">
        <v>299</v>
      </c>
      <c r="E67" s="104" t="s">
        <v>300</v>
      </c>
      <c r="F67" s="104"/>
      <c r="G67" s="104" t="s">
        <v>301</v>
      </c>
      <c r="H67" s="99" t="s">
        <v>74</v>
      </c>
      <c r="I67" s="99" t="s">
        <v>50</v>
      </c>
      <c r="J67" s="54">
        <f>110.6+16.4</f>
        <v>127</v>
      </c>
      <c r="K67" s="54">
        <f>110.6+16.4</f>
        <v>127</v>
      </c>
      <c r="L67" s="54"/>
      <c r="M67" s="185">
        <f>N67+O67</f>
        <v>0</v>
      </c>
      <c r="N67" s="54"/>
      <c r="O67" s="54"/>
      <c r="P67" s="185">
        <f>Q67+R67</f>
        <v>0</v>
      </c>
      <c r="Q67" s="54"/>
      <c r="R67" s="54"/>
      <c r="S67" s="185">
        <f>T67+U67</f>
        <v>0</v>
      </c>
      <c r="T67" s="54"/>
      <c r="U67" s="54"/>
      <c r="V67" s="60"/>
      <c r="W67" s="60"/>
      <c r="X67" s="60"/>
      <c r="Y67" s="60"/>
      <c r="Z67" s="60"/>
    </row>
    <row r="68" spans="1:26" ht="292.5" customHeight="1">
      <c r="A68" s="106" t="s">
        <v>302</v>
      </c>
      <c r="B68" s="104" t="s">
        <v>303</v>
      </c>
      <c r="C68" s="104" t="s">
        <v>69</v>
      </c>
      <c r="D68" s="104" t="s">
        <v>304</v>
      </c>
      <c r="E68" s="104" t="s">
        <v>305</v>
      </c>
      <c r="F68" s="111" t="s">
        <v>69</v>
      </c>
      <c r="G68" s="104" t="s">
        <v>306</v>
      </c>
      <c r="H68" s="98" t="s">
        <v>74</v>
      </c>
      <c r="I68" s="98" t="s">
        <v>50</v>
      </c>
      <c r="J68" s="54">
        <f>4135.3+175.2+1469.5-2000</f>
        <v>3780</v>
      </c>
      <c r="K68" s="54"/>
      <c r="L68" s="54">
        <f>4135.3+175.2+1469.5-2000+1260.7+2.2</f>
        <v>5042.9</v>
      </c>
      <c r="M68" s="79">
        <f>N68+O68</f>
        <v>4209.1</v>
      </c>
      <c r="N68" s="54">
        <v>4209.1</v>
      </c>
      <c r="O68" s="54"/>
      <c r="P68" s="79">
        <f>Q68+R68</f>
        <v>4209.1</v>
      </c>
      <c r="Q68" s="54">
        <v>4209.1</v>
      </c>
      <c r="R68" s="54"/>
      <c r="S68" s="79">
        <f>T68+U68</f>
        <v>4209</v>
      </c>
      <c r="T68" s="54">
        <v>4209</v>
      </c>
      <c r="U68" s="54"/>
      <c r="V68" s="60"/>
      <c r="W68" s="60"/>
      <c r="X68" s="60"/>
      <c r="Y68" s="60"/>
      <c r="Z68" s="60"/>
    </row>
    <row r="69" spans="1:26" ht="51.75" customHeight="1">
      <c r="A69" s="137" t="s">
        <v>148</v>
      </c>
      <c r="B69" s="112"/>
      <c r="C69" s="112"/>
      <c r="D69" s="112"/>
      <c r="E69" s="113" t="s">
        <v>149</v>
      </c>
      <c r="F69" s="114" t="s">
        <v>150</v>
      </c>
      <c r="G69" s="114" t="s">
        <v>151</v>
      </c>
      <c r="H69" s="103" t="s">
        <v>50</v>
      </c>
      <c r="I69" s="82" t="s">
        <v>49</v>
      </c>
      <c r="J69" s="87">
        <v>1500</v>
      </c>
      <c r="K69" s="83">
        <v>1500</v>
      </c>
      <c r="L69" s="93">
        <v>5087.4</v>
      </c>
      <c r="M69" s="89">
        <v>12382.3</v>
      </c>
      <c r="N69" s="90">
        <v>12382.3</v>
      </c>
      <c r="O69" s="94"/>
      <c r="P69" s="89">
        <v>14978.4</v>
      </c>
      <c r="Q69" s="90">
        <v>14978.4</v>
      </c>
      <c r="R69" s="94"/>
      <c r="S69" s="89">
        <v>13248.3</v>
      </c>
      <c r="T69" s="90">
        <v>13248.3</v>
      </c>
      <c r="U69" s="82"/>
      <c r="V69" s="60"/>
      <c r="W69" s="60"/>
      <c r="X69" s="60"/>
      <c r="Y69" s="60"/>
      <c r="Z69" s="60"/>
    </row>
    <row r="70" spans="1:26" ht="114.75" customHeight="1">
      <c r="A70" s="106" t="s">
        <v>307</v>
      </c>
      <c r="B70" s="104" t="s">
        <v>262</v>
      </c>
      <c r="C70" s="104" t="s">
        <v>308</v>
      </c>
      <c r="D70" s="104" t="s">
        <v>309</v>
      </c>
      <c r="E70" s="104" t="s">
        <v>310</v>
      </c>
      <c r="F70" s="110" t="s">
        <v>311</v>
      </c>
      <c r="G70" s="104" t="s">
        <v>312</v>
      </c>
      <c r="H70" s="98" t="s">
        <v>71</v>
      </c>
      <c r="I70" s="98" t="s">
        <v>49</v>
      </c>
      <c r="J70" s="54">
        <f>14.7-2.1</f>
        <v>12.6</v>
      </c>
      <c r="K70" s="54"/>
      <c r="L70" s="54">
        <f>73.4</f>
        <v>73.4</v>
      </c>
      <c r="M70" s="186">
        <f>N70+O70</f>
        <v>1.6</v>
      </c>
      <c r="N70" s="54">
        <v>1.6</v>
      </c>
      <c r="O70" s="54"/>
      <c r="P70" s="186">
        <f>Q70+R70</f>
        <v>1.7</v>
      </c>
      <c r="Q70" s="54">
        <v>1.7</v>
      </c>
      <c r="R70" s="54"/>
      <c r="S70" s="186">
        <f>T70+U70</f>
        <v>10.8</v>
      </c>
      <c r="T70" s="54">
        <v>10.8</v>
      </c>
      <c r="U70" s="54"/>
      <c r="V70" s="60"/>
      <c r="W70" s="60"/>
      <c r="X70" s="60"/>
      <c r="Y70" s="60"/>
      <c r="Z70" s="60"/>
    </row>
    <row r="71" spans="1:26" ht="183.75" customHeight="1">
      <c r="A71" s="137" t="s">
        <v>389</v>
      </c>
      <c r="B71" s="56" t="s">
        <v>354</v>
      </c>
      <c r="C71" s="56" t="s">
        <v>373</v>
      </c>
      <c r="D71" s="56" t="s">
        <v>356</v>
      </c>
      <c r="E71" s="56" t="s">
        <v>357</v>
      </c>
      <c r="F71" s="136" t="s">
        <v>374</v>
      </c>
      <c r="G71" s="56" t="s">
        <v>359</v>
      </c>
      <c r="H71" s="98" t="s">
        <v>390</v>
      </c>
      <c r="I71" s="98" t="s">
        <v>391</v>
      </c>
      <c r="J71" s="146">
        <v>246.6</v>
      </c>
      <c r="K71" s="146">
        <v>195.3</v>
      </c>
      <c r="L71" s="146">
        <v>290.1</v>
      </c>
      <c r="M71" s="183">
        <f>N71</f>
        <v>0</v>
      </c>
      <c r="N71" s="146">
        <v>0</v>
      </c>
      <c r="O71" s="146">
        <v>0</v>
      </c>
      <c r="P71" s="149">
        <f>Q71</f>
        <v>0</v>
      </c>
      <c r="Q71" s="146">
        <v>0</v>
      </c>
      <c r="R71" s="146">
        <v>0</v>
      </c>
      <c r="S71" s="149">
        <f>T71</f>
        <v>0</v>
      </c>
      <c r="T71" s="146">
        <v>0</v>
      </c>
      <c r="U71" s="146">
        <v>0</v>
      </c>
      <c r="V71" s="60"/>
      <c r="W71" s="60"/>
      <c r="X71" s="60"/>
      <c r="Y71" s="60"/>
      <c r="Z71" s="60"/>
    </row>
    <row r="72" spans="1:26" ht="190.5" customHeight="1">
      <c r="A72" s="137" t="s">
        <v>392</v>
      </c>
      <c r="B72" s="56" t="s">
        <v>354</v>
      </c>
      <c r="C72" s="56" t="s">
        <v>373</v>
      </c>
      <c r="D72" s="56" t="s">
        <v>356</v>
      </c>
      <c r="E72" s="56" t="s">
        <v>357</v>
      </c>
      <c r="F72" s="136" t="s">
        <v>374</v>
      </c>
      <c r="G72" s="56" t="s">
        <v>359</v>
      </c>
      <c r="H72" s="98" t="s">
        <v>360</v>
      </c>
      <c r="I72" s="98" t="s">
        <v>51</v>
      </c>
      <c r="J72" s="146">
        <v>738.8</v>
      </c>
      <c r="K72" s="146">
        <v>558.9</v>
      </c>
      <c r="L72" s="146">
        <v>854.8</v>
      </c>
      <c r="M72" s="183">
        <f>N72</f>
        <v>1077.8</v>
      </c>
      <c r="N72" s="146">
        <v>1077.8</v>
      </c>
      <c r="O72" s="146" t="s">
        <v>371</v>
      </c>
      <c r="P72" s="149">
        <f>Q72</f>
        <v>1077.8</v>
      </c>
      <c r="Q72" s="146">
        <v>1077.8</v>
      </c>
      <c r="R72" s="146" t="s">
        <v>371</v>
      </c>
      <c r="S72" s="149">
        <f>T72</f>
        <v>1077.8</v>
      </c>
      <c r="T72" s="146">
        <v>1077.8</v>
      </c>
      <c r="U72" s="146" t="s">
        <v>371</v>
      </c>
      <c r="V72" s="60"/>
      <c r="W72" s="60"/>
      <c r="X72" s="60"/>
      <c r="Y72" s="60"/>
      <c r="Z72" s="60"/>
    </row>
    <row r="73" spans="1:26" ht="111.75" customHeight="1">
      <c r="A73" s="106" t="s">
        <v>313</v>
      </c>
      <c r="B73" s="104"/>
      <c r="C73" s="104"/>
      <c r="D73" s="104"/>
      <c r="E73" s="104" t="s">
        <v>314</v>
      </c>
      <c r="F73" s="110" t="s">
        <v>69</v>
      </c>
      <c r="G73" s="115">
        <v>42831</v>
      </c>
      <c r="H73" s="98" t="s">
        <v>71</v>
      </c>
      <c r="I73" s="98" t="s">
        <v>50</v>
      </c>
      <c r="J73" s="54">
        <f>397.9-3.7+2.7</f>
        <v>396.9</v>
      </c>
      <c r="K73" s="54">
        <f>397.9-3.7+2.7</f>
        <v>396.9</v>
      </c>
      <c r="L73" s="54">
        <f>435.1+40.2</f>
        <v>475.3</v>
      </c>
      <c r="M73" s="186">
        <f>N73+O73</f>
        <v>502.9</v>
      </c>
      <c r="N73" s="54">
        <v>502.9</v>
      </c>
      <c r="O73" s="54"/>
      <c r="P73" s="186">
        <f>Q73+R73</f>
        <v>502.9</v>
      </c>
      <c r="Q73" s="54">
        <v>502.9</v>
      </c>
      <c r="R73" s="54"/>
      <c r="S73" s="186">
        <f>T73+U73</f>
        <v>502.9</v>
      </c>
      <c r="T73" s="54">
        <v>502.9</v>
      </c>
      <c r="U73" s="54"/>
      <c r="V73" s="60"/>
      <c r="W73" s="60"/>
      <c r="X73" s="60"/>
      <c r="Y73" s="60"/>
      <c r="Z73" s="60"/>
    </row>
    <row r="74" spans="1:26" ht="93.75" customHeight="1">
      <c r="A74" s="106" t="s">
        <v>395</v>
      </c>
      <c r="B74" s="104" t="s">
        <v>262</v>
      </c>
      <c r="C74" s="104" t="s">
        <v>69</v>
      </c>
      <c r="D74" s="104" t="s">
        <v>309</v>
      </c>
      <c r="E74" s="104" t="s">
        <v>315</v>
      </c>
      <c r="F74" s="110" t="s">
        <v>69</v>
      </c>
      <c r="G74" s="115" t="s">
        <v>316</v>
      </c>
      <c r="H74" s="98" t="s">
        <v>49</v>
      </c>
      <c r="I74" s="98" t="s">
        <v>49</v>
      </c>
      <c r="J74" s="54">
        <f>2.5-0.3</f>
        <v>2.2</v>
      </c>
      <c r="K74" s="54">
        <f>2.5-0.3</f>
        <v>2.2</v>
      </c>
      <c r="L74" s="54">
        <f>2.5-0.3</f>
        <v>2.2</v>
      </c>
      <c r="M74" s="186">
        <f>N74+O74</f>
        <v>2.2</v>
      </c>
      <c r="N74" s="54">
        <f>2.5-0.3</f>
        <v>2.2</v>
      </c>
      <c r="O74" s="54"/>
      <c r="P74" s="186">
        <f>Q74+R74</f>
        <v>2.2</v>
      </c>
      <c r="Q74" s="54">
        <f>2.5-0.3</f>
        <v>2.2</v>
      </c>
      <c r="R74" s="54"/>
      <c r="S74" s="186">
        <f>T74+U74</f>
        <v>2.2</v>
      </c>
      <c r="T74" s="54">
        <f>2.5-0.3</f>
        <v>2.2</v>
      </c>
      <c r="U74" s="54"/>
      <c r="V74" s="60"/>
      <c r="W74" s="60"/>
      <c r="X74" s="60"/>
      <c r="Y74" s="60"/>
      <c r="Z74" s="60"/>
    </row>
    <row r="75" spans="1:26" ht="42" customHeight="1">
      <c r="A75" s="137" t="s">
        <v>152</v>
      </c>
      <c r="B75" s="116"/>
      <c r="C75" s="112"/>
      <c r="D75" s="112"/>
      <c r="E75" s="113" t="s">
        <v>153</v>
      </c>
      <c r="F75" s="114" t="s">
        <v>150</v>
      </c>
      <c r="G75" s="114" t="s">
        <v>154</v>
      </c>
      <c r="H75" s="103" t="s">
        <v>50</v>
      </c>
      <c r="I75" s="82" t="s">
        <v>49</v>
      </c>
      <c r="J75" s="87">
        <v>2088.4</v>
      </c>
      <c r="K75" s="83">
        <v>2088.4</v>
      </c>
      <c r="L75" s="95">
        <v>1794.3</v>
      </c>
      <c r="M75" s="89">
        <v>3061.4</v>
      </c>
      <c r="N75" s="90">
        <v>3061.4</v>
      </c>
      <c r="O75" s="84"/>
      <c r="P75" s="89">
        <v>3061.4</v>
      </c>
      <c r="Q75" s="90">
        <v>3061.4</v>
      </c>
      <c r="R75" s="84"/>
      <c r="S75" s="89">
        <v>3236.2</v>
      </c>
      <c r="T75" s="90">
        <v>3236.2</v>
      </c>
      <c r="U75" s="83"/>
      <c r="V75" s="60"/>
      <c r="W75" s="60"/>
      <c r="X75" s="60"/>
      <c r="Y75" s="60"/>
      <c r="Z75" s="60"/>
    </row>
    <row r="76" spans="1:26" ht="42" customHeight="1">
      <c r="A76" s="137" t="s">
        <v>155</v>
      </c>
      <c r="B76" s="117"/>
      <c r="C76" s="112"/>
      <c r="D76" s="112"/>
      <c r="E76" s="113" t="s">
        <v>153</v>
      </c>
      <c r="F76" s="114" t="s">
        <v>150</v>
      </c>
      <c r="G76" s="114" t="s">
        <v>154</v>
      </c>
      <c r="H76" s="103" t="s">
        <v>50</v>
      </c>
      <c r="I76" s="82" t="s">
        <v>49</v>
      </c>
      <c r="J76" s="87">
        <v>298.4</v>
      </c>
      <c r="K76" s="83">
        <v>298.4</v>
      </c>
      <c r="L76" s="95">
        <v>2281.9</v>
      </c>
      <c r="M76" s="89">
        <v>3120.9</v>
      </c>
      <c r="N76" s="84">
        <v>3120.9</v>
      </c>
      <c r="O76" s="94"/>
      <c r="P76" s="89">
        <v>3721.1</v>
      </c>
      <c r="Q76" s="84">
        <v>3721.1</v>
      </c>
      <c r="R76" s="94"/>
      <c r="S76" s="89">
        <v>3721.1</v>
      </c>
      <c r="T76" s="84">
        <v>3721.1</v>
      </c>
      <c r="U76" s="82"/>
      <c r="V76" s="60"/>
      <c r="W76" s="60"/>
      <c r="X76" s="60"/>
      <c r="Y76" s="60"/>
      <c r="Z76" s="60"/>
    </row>
    <row r="77" spans="1:26" ht="70.5" customHeight="1">
      <c r="A77" s="137" t="s">
        <v>172</v>
      </c>
      <c r="B77" s="112"/>
      <c r="C77" s="112"/>
      <c r="D77" s="116"/>
      <c r="E77" s="137" t="s">
        <v>156</v>
      </c>
      <c r="F77" s="112" t="s">
        <v>150</v>
      </c>
      <c r="G77" s="114" t="s">
        <v>157</v>
      </c>
      <c r="H77" s="103" t="s">
        <v>50</v>
      </c>
      <c r="I77" s="82" t="s">
        <v>49</v>
      </c>
      <c r="J77" s="87">
        <v>216.7</v>
      </c>
      <c r="K77" s="83">
        <v>214.3</v>
      </c>
      <c r="L77" s="93">
        <v>305</v>
      </c>
      <c r="M77" s="89">
        <v>264.3</v>
      </c>
      <c r="N77" s="84">
        <v>264.3</v>
      </c>
      <c r="O77" s="94"/>
      <c r="P77" s="89">
        <v>264.3</v>
      </c>
      <c r="Q77" s="84">
        <v>264.3</v>
      </c>
      <c r="R77" s="94"/>
      <c r="S77" s="89">
        <v>264.3</v>
      </c>
      <c r="T77" s="84">
        <v>264.3</v>
      </c>
      <c r="U77" s="82"/>
      <c r="V77" s="60"/>
      <c r="W77" s="60"/>
      <c r="X77" s="60"/>
      <c r="Y77" s="60"/>
      <c r="Z77" s="60"/>
    </row>
    <row r="78" spans="1:26" ht="145.5" customHeight="1">
      <c r="A78" s="137" t="s">
        <v>158</v>
      </c>
      <c r="B78" s="113" t="s">
        <v>159</v>
      </c>
      <c r="C78" s="112" t="s">
        <v>160</v>
      </c>
      <c r="D78" s="114" t="s">
        <v>161</v>
      </c>
      <c r="E78" s="113" t="s">
        <v>153</v>
      </c>
      <c r="F78" s="112" t="s">
        <v>150</v>
      </c>
      <c r="G78" s="114" t="s">
        <v>162</v>
      </c>
      <c r="H78" s="82" t="s">
        <v>50</v>
      </c>
      <c r="I78" s="82" t="s">
        <v>49</v>
      </c>
      <c r="J78" s="96">
        <v>3340.4</v>
      </c>
      <c r="K78" s="83">
        <v>3340.4</v>
      </c>
      <c r="L78" s="95">
        <v>3046.3</v>
      </c>
      <c r="M78" s="89">
        <v>5524.7</v>
      </c>
      <c r="N78" s="84">
        <v>5524.7</v>
      </c>
      <c r="O78" s="94"/>
      <c r="P78" s="89">
        <v>5524.7</v>
      </c>
      <c r="Q78" s="84">
        <v>5524.7</v>
      </c>
      <c r="R78" s="94"/>
      <c r="S78" s="89">
        <v>5524.7</v>
      </c>
      <c r="T78" s="84">
        <v>5524.7</v>
      </c>
      <c r="U78" s="82"/>
      <c r="V78" s="60"/>
      <c r="W78" s="60"/>
      <c r="X78" s="60"/>
      <c r="Y78" s="60"/>
      <c r="Z78" s="60"/>
    </row>
    <row r="79" spans="1:26" ht="66.75" customHeight="1">
      <c r="A79" s="137" t="s">
        <v>163</v>
      </c>
      <c r="B79" s="112"/>
      <c r="C79" s="112"/>
      <c r="D79" s="114"/>
      <c r="E79" s="117" t="s">
        <v>164</v>
      </c>
      <c r="F79" s="114" t="s">
        <v>165</v>
      </c>
      <c r="G79" s="114" t="s">
        <v>166</v>
      </c>
      <c r="H79" s="82" t="s">
        <v>50</v>
      </c>
      <c r="I79" s="82" t="s">
        <v>49</v>
      </c>
      <c r="J79" s="96">
        <v>4993.6</v>
      </c>
      <c r="K79" s="83">
        <v>4993.6</v>
      </c>
      <c r="L79" s="93">
        <v>7695.7</v>
      </c>
      <c r="M79" s="89">
        <v>4124.9</v>
      </c>
      <c r="N79" s="84">
        <v>4124.9</v>
      </c>
      <c r="O79" s="94"/>
      <c r="P79" s="89">
        <v>5359.9</v>
      </c>
      <c r="Q79" s="84">
        <v>5359.9</v>
      </c>
      <c r="R79" s="94"/>
      <c r="S79" s="89">
        <v>5359.9</v>
      </c>
      <c r="T79" s="84">
        <v>5359.9</v>
      </c>
      <c r="U79" s="82"/>
      <c r="V79" s="60"/>
      <c r="W79" s="60"/>
      <c r="X79" s="60"/>
      <c r="Y79" s="60"/>
      <c r="Z79" s="60"/>
    </row>
    <row r="80" spans="1:26" ht="36.75" customHeight="1">
      <c r="A80" s="137" t="s">
        <v>167</v>
      </c>
      <c r="B80" s="112"/>
      <c r="C80" s="112"/>
      <c r="D80" s="112"/>
      <c r="E80" s="113" t="s">
        <v>153</v>
      </c>
      <c r="F80" s="112" t="s">
        <v>150</v>
      </c>
      <c r="G80" s="114" t="s">
        <v>154</v>
      </c>
      <c r="H80" s="82" t="s">
        <v>50</v>
      </c>
      <c r="I80" s="82" t="s">
        <v>49</v>
      </c>
      <c r="J80" s="96">
        <v>6940.6</v>
      </c>
      <c r="K80" s="83">
        <v>6940.6</v>
      </c>
      <c r="L80" s="95">
        <v>6147.7</v>
      </c>
      <c r="M80" s="89">
        <v>5811.4</v>
      </c>
      <c r="N80" s="90">
        <v>5811.4</v>
      </c>
      <c r="O80" s="94"/>
      <c r="P80" s="89">
        <v>5811.4</v>
      </c>
      <c r="Q80" s="90">
        <v>5811.4</v>
      </c>
      <c r="R80" s="94"/>
      <c r="S80" s="89">
        <v>6007.9</v>
      </c>
      <c r="T80" s="90">
        <v>6007.9</v>
      </c>
      <c r="U80" s="82"/>
      <c r="V80" s="60"/>
      <c r="W80" s="60"/>
      <c r="X80" s="60"/>
      <c r="Y80" s="60"/>
      <c r="Z80" s="60"/>
    </row>
    <row r="81" spans="1:26" ht="144" customHeight="1">
      <c r="A81" s="137" t="s">
        <v>168</v>
      </c>
      <c r="B81" s="113" t="s">
        <v>159</v>
      </c>
      <c r="C81" s="114" t="s">
        <v>150</v>
      </c>
      <c r="D81" s="114" t="s">
        <v>161</v>
      </c>
      <c r="E81" s="113" t="s">
        <v>153</v>
      </c>
      <c r="F81" s="114" t="s">
        <v>150</v>
      </c>
      <c r="G81" s="114" t="s">
        <v>162</v>
      </c>
      <c r="H81" s="82" t="s">
        <v>50</v>
      </c>
      <c r="I81" s="82" t="s">
        <v>49</v>
      </c>
      <c r="J81" s="96">
        <v>1875.5</v>
      </c>
      <c r="K81" s="83">
        <v>1875.5</v>
      </c>
      <c r="L81" s="95">
        <v>1338</v>
      </c>
      <c r="M81" s="89">
        <v>4912.3</v>
      </c>
      <c r="N81" s="90">
        <v>4912.3</v>
      </c>
      <c r="O81" s="94"/>
      <c r="P81" s="89">
        <v>4912.3</v>
      </c>
      <c r="Q81" s="90">
        <v>4912.3</v>
      </c>
      <c r="R81" s="94"/>
      <c r="S81" s="89">
        <v>4912.2</v>
      </c>
      <c r="T81" s="90">
        <v>4912.2</v>
      </c>
      <c r="U81" s="82"/>
      <c r="V81" s="60"/>
      <c r="W81" s="60"/>
      <c r="X81" s="60"/>
      <c r="Y81" s="60"/>
      <c r="Z81" s="60"/>
    </row>
    <row r="82" spans="1:26" ht="144" customHeight="1">
      <c r="A82" s="137" t="s">
        <v>169</v>
      </c>
      <c r="B82" s="113" t="s">
        <v>159</v>
      </c>
      <c r="C82" s="112" t="s">
        <v>160</v>
      </c>
      <c r="D82" s="114" t="s">
        <v>161</v>
      </c>
      <c r="E82" s="117" t="s">
        <v>164</v>
      </c>
      <c r="F82" s="112" t="s">
        <v>150</v>
      </c>
      <c r="G82" s="114" t="s">
        <v>170</v>
      </c>
      <c r="H82" s="82" t="s">
        <v>50</v>
      </c>
      <c r="I82" s="82" t="s">
        <v>49</v>
      </c>
      <c r="J82" s="83">
        <v>6410.8</v>
      </c>
      <c r="K82" s="83">
        <v>6410.8</v>
      </c>
      <c r="L82" s="95"/>
      <c r="M82" s="89"/>
      <c r="N82" s="84"/>
      <c r="O82" s="94"/>
      <c r="P82" s="89"/>
      <c r="Q82" s="84"/>
      <c r="R82" s="94"/>
      <c r="S82" s="89"/>
      <c r="T82" s="84"/>
      <c r="U82" s="82"/>
      <c r="V82" s="60"/>
      <c r="W82" s="60"/>
      <c r="X82" s="60"/>
      <c r="Y82" s="60"/>
      <c r="Z82" s="60"/>
    </row>
    <row r="83" spans="1:26" ht="186.75" customHeight="1">
      <c r="A83" s="137" t="s">
        <v>393</v>
      </c>
      <c r="B83" s="56" t="s">
        <v>354</v>
      </c>
      <c r="C83" s="56" t="s">
        <v>373</v>
      </c>
      <c r="D83" s="56" t="s">
        <v>356</v>
      </c>
      <c r="E83" s="56" t="s">
        <v>357</v>
      </c>
      <c r="F83" s="136" t="s">
        <v>374</v>
      </c>
      <c r="G83" s="56" t="s">
        <v>359</v>
      </c>
      <c r="H83" s="98" t="s">
        <v>360</v>
      </c>
      <c r="I83" s="98" t="s">
        <v>51</v>
      </c>
      <c r="J83" s="146">
        <v>5605.8</v>
      </c>
      <c r="K83" s="146">
        <v>4262.2</v>
      </c>
      <c r="L83" s="146">
        <v>5156.4</v>
      </c>
      <c r="M83" s="183">
        <f>N83</f>
        <v>5702.4</v>
      </c>
      <c r="N83" s="146">
        <v>5702.4</v>
      </c>
      <c r="O83" s="146" t="s">
        <v>371</v>
      </c>
      <c r="P83" s="149">
        <f>Q83</f>
        <v>5702.4</v>
      </c>
      <c r="Q83" s="146">
        <v>5702.4</v>
      </c>
      <c r="R83" s="146" t="s">
        <v>371</v>
      </c>
      <c r="S83" s="149">
        <f>T83</f>
        <v>5702.4</v>
      </c>
      <c r="T83" s="146">
        <v>5702.4</v>
      </c>
      <c r="U83" s="146" t="s">
        <v>371</v>
      </c>
      <c r="V83" s="60"/>
      <c r="W83" s="60"/>
      <c r="X83" s="60"/>
      <c r="Y83" s="60"/>
      <c r="Z83" s="60"/>
    </row>
    <row r="84" spans="1:26" ht="197.25" customHeight="1">
      <c r="A84" s="137" t="s">
        <v>394</v>
      </c>
      <c r="B84" s="56" t="s">
        <v>354</v>
      </c>
      <c r="C84" s="56" t="s">
        <v>373</v>
      </c>
      <c r="D84" s="56" t="s">
        <v>356</v>
      </c>
      <c r="E84" s="56" t="s">
        <v>357</v>
      </c>
      <c r="F84" s="136" t="s">
        <v>374</v>
      </c>
      <c r="G84" s="56" t="s">
        <v>359</v>
      </c>
      <c r="H84" s="98" t="s">
        <v>360</v>
      </c>
      <c r="I84" s="98" t="s">
        <v>51</v>
      </c>
      <c r="J84" s="146">
        <v>212.8</v>
      </c>
      <c r="K84" s="146">
        <v>212.8</v>
      </c>
      <c r="L84" s="146">
        <v>205</v>
      </c>
      <c r="M84" s="183">
        <f>N84</f>
        <v>244.8</v>
      </c>
      <c r="N84" s="146">
        <v>244.8</v>
      </c>
      <c r="O84" s="146" t="s">
        <v>371</v>
      </c>
      <c r="P84" s="149">
        <f>Q84</f>
        <v>244.8</v>
      </c>
      <c r="Q84" s="146">
        <v>244.8</v>
      </c>
      <c r="R84" s="146" t="s">
        <v>371</v>
      </c>
      <c r="S84" s="149">
        <f>T84</f>
        <v>244.8</v>
      </c>
      <c r="T84" s="146">
        <v>244.8</v>
      </c>
      <c r="U84" s="146" t="s">
        <v>371</v>
      </c>
      <c r="V84" s="60"/>
      <c r="W84" s="60"/>
      <c r="X84" s="60"/>
      <c r="Y84" s="60"/>
      <c r="Z84" s="60"/>
    </row>
    <row r="85" spans="1:26" ht="171.75" customHeight="1">
      <c r="A85" s="137" t="s">
        <v>173</v>
      </c>
      <c r="B85" s="113" t="s">
        <v>159</v>
      </c>
      <c r="C85" s="112" t="s">
        <v>160</v>
      </c>
      <c r="D85" s="114" t="s">
        <v>161</v>
      </c>
      <c r="E85" s="113" t="s">
        <v>171</v>
      </c>
      <c r="F85" s="114" t="s">
        <v>150</v>
      </c>
      <c r="G85" s="114"/>
      <c r="H85" s="82" t="s">
        <v>50</v>
      </c>
      <c r="I85" s="82" t="s">
        <v>49</v>
      </c>
      <c r="J85" s="83">
        <v>48.5</v>
      </c>
      <c r="K85" s="83">
        <v>48.5</v>
      </c>
      <c r="L85" s="95">
        <v>201.6</v>
      </c>
      <c r="M85" s="89">
        <v>168.7</v>
      </c>
      <c r="N85" s="84">
        <v>168.7</v>
      </c>
      <c r="O85" s="94"/>
      <c r="P85" s="89">
        <v>932.2</v>
      </c>
      <c r="Q85" s="84">
        <v>932.2</v>
      </c>
      <c r="R85" s="94"/>
      <c r="S85" s="89">
        <v>1037.1</v>
      </c>
      <c r="T85" s="84">
        <v>1037.1</v>
      </c>
      <c r="U85" s="82"/>
      <c r="V85" s="60"/>
      <c r="W85" s="60"/>
      <c r="X85" s="60"/>
      <c r="Y85" s="60"/>
      <c r="Z85" s="60"/>
    </row>
    <row r="86" spans="1:26" ht="150" customHeight="1">
      <c r="A86" s="137" t="s">
        <v>174</v>
      </c>
      <c r="B86" s="113" t="s">
        <v>159</v>
      </c>
      <c r="C86" s="112" t="s">
        <v>160</v>
      </c>
      <c r="D86" s="114" t="s">
        <v>161</v>
      </c>
      <c r="E86" s="113" t="s">
        <v>171</v>
      </c>
      <c r="F86" s="114" t="s">
        <v>150</v>
      </c>
      <c r="G86" s="114"/>
      <c r="H86" s="82" t="s">
        <v>50</v>
      </c>
      <c r="I86" s="82" t="s">
        <v>49</v>
      </c>
      <c r="J86" s="83">
        <v>4801</v>
      </c>
      <c r="K86" s="83">
        <v>4801</v>
      </c>
      <c r="L86" s="93">
        <v>3830</v>
      </c>
      <c r="M86" s="89">
        <v>3205.2</v>
      </c>
      <c r="N86" s="84">
        <v>3205.2</v>
      </c>
      <c r="O86" s="94"/>
      <c r="P86" s="89">
        <v>2951.9</v>
      </c>
      <c r="Q86" s="84">
        <v>2951.9</v>
      </c>
      <c r="R86" s="94"/>
      <c r="S86" s="89">
        <v>2951.9</v>
      </c>
      <c r="T86" s="84">
        <v>2951.9</v>
      </c>
      <c r="U86" s="82"/>
      <c r="V86" s="60"/>
      <c r="W86" s="60"/>
      <c r="X86" s="60"/>
      <c r="Y86" s="60"/>
      <c r="Z86" s="60"/>
    </row>
    <row r="87" spans="1:21" ht="81" customHeight="1">
      <c r="A87" s="137" t="s">
        <v>56</v>
      </c>
      <c r="B87" s="105" t="s">
        <v>57</v>
      </c>
      <c r="C87" s="122" t="s">
        <v>62</v>
      </c>
      <c r="D87" s="123">
        <v>37900</v>
      </c>
      <c r="E87" s="10" t="s">
        <v>84</v>
      </c>
      <c r="F87" s="124" t="s">
        <v>69</v>
      </c>
      <c r="G87" s="119" t="s">
        <v>85</v>
      </c>
      <c r="H87" s="22" t="s">
        <v>51</v>
      </c>
      <c r="I87" s="22" t="s">
        <v>48</v>
      </c>
      <c r="J87" s="23">
        <f>75.1+75.1+75.1+150.2</f>
        <v>375.5</v>
      </c>
      <c r="K87" s="23">
        <f>75.1+75.1+75.1+150.2</f>
        <v>375.5</v>
      </c>
      <c r="L87" s="23">
        <f>76.9+77+77+153.9</f>
        <v>384.8</v>
      </c>
      <c r="M87" s="20">
        <f>N87</f>
        <v>298.1</v>
      </c>
      <c r="N87" s="21">
        <v>298.1</v>
      </c>
      <c r="O87" s="21"/>
      <c r="P87" s="20">
        <f>Q87</f>
        <v>311.1</v>
      </c>
      <c r="Q87" s="21">
        <v>311.1</v>
      </c>
      <c r="R87" s="21"/>
      <c r="S87" s="20">
        <f>T87</f>
        <v>321.6</v>
      </c>
      <c r="T87" s="21">
        <v>321.6</v>
      </c>
      <c r="U87" s="21"/>
    </row>
    <row r="88" spans="1:21" ht="125.25" customHeight="1">
      <c r="A88" s="137" t="s">
        <v>175</v>
      </c>
      <c r="B88" s="113"/>
      <c r="C88" s="112"/>
      <c r="D88" s="114"/>
      <c r="E88" s="113" t="s">
        <v>176</v>
      </c>
      <c r="F88" s="114" t="s">
        <v>150</v>
      </c>
      <c r="G88" s="114" t="s">
        <v>177</v>
      </c>
      <c r="H88" s="82" t="s">
        <v>50</v>
      </c>
      <c r="I88" s="82" t="s">
        <v>49</v>
      </c>
      <c r="J88" s="83">
        <v>2849.8</v>
      </c>
      <c r="K88" s="83">
        <v>2849.8</v>
      </c>
      <c r="L88" s="95"/>
      <c r="M88" s="97"/>
      <c r="N88" s="83"/>
      <c r="O88" s="86"/>
      <c r="P88" s="97"/>
      <c r="Q88" s="83"/>
      <c r="R88" s="86"/>
      <c r="S88" s="97"/>
      <c r="T88" s="83"/>
      <c r="U88" s="82"/>
    </row>
    <row r="89" spans="1:21" ht="135" customHeight="1">
      <c r="A89" s="137" t="s">
        <v>178</v>
      </c>
      <c r="B89" s="113"/>
      <c r="C89" s="112"/>
      <c r="D89" s="114"/>
      <c r="E89" s="113" t="s">
        <v>176</v>
      </c>
      <c r="F89" s="114" t="s">
        <v>150</v>
      </c>
      <c r="G89" s="114" t="s">
        <v>177</v>
      </c>
      <c r="H89" s="82" t="s">
        <v>50</v>
      </c>
      <c r="I89" s="82" t="s">
        <v>49</v>
      </c>
      <c r="J89" s="83">
        <v>28.6</v>
      </c>
      <c r="K89" s="83">
        <v>28.6</v>
      </c>
      <c r="L89" s="95"/>
      <c r="M89" s="97"/>
      <c r="N89" s="83"/>
      <c r="O89" s="86"/>
      <c r="P89" s="97"/>
      <c r="Q89" s="83"/>
      <c r="R89" s="86"/>
      <c r="S89" s="97"/>
      <c r="T89" s="83"/>
      <c r="U89" s="82"/>
    </row>
    <row r="90" spans="1:21" ht="54.75" customHeight="1">
      <c r="A90" s="137" t="s">
        <v>38</v>
      </c>
      <c r="B90" s="122" t="s">
        <v>7</v>
      </c>
      <c r="C90" s="122" t="s">
        <v>7</v>
      </c>
      <c r="D90" s="122" t="s">
        <v>7</v>
      </c>
      <c r="E90" s="122" t="s">
        <v>7</v>
      </c>
      <c r="F90" s="122" t="s">
        <v>7</v>
      </c>
      <c r="G90" s="122" t="s">
        <v>7</v>
      </c>
      <c r="H90" s="4" t="s">
        <v>7</v>
      </c>
      <c r="I90" s="4" t="s">
        <v>7</v>
      </c>
      <c r="J90" s="21"/>
      <c r="K90" s="21"/>
      <c r="L90" s="21"/>
      <c r="M90" s="20"/>
      <c r="N90" s="21"/>
      <c r="O90" s="21"/>
      <c r="P90" s="20"/>
      <c r="Q90" s="21"/>
      <c r="R90" s="21"/>
      <c r="S90" s="20"/>
      <c r="T90" s="21"/>
      <c r="U90" s="21"/>
    </row>
    <row r="91" spans="1:21" ht="12.75">
      <c r="A91" s="61" t="s">
        <v>9</v>
      </c>
      <c r="B91" s="122"/>
      <c r="C91" s="122"/>
      <c r="D91" s="122"/>
      <c r="E91" s="122"/>
      <c r="F91" s="122"/>
      <c r="G91" s="122"/>
      <c r="H91" s="4"/>
      <c r="I91" s="4"/>
      <c r="J91" s="21"/>
      <c r="K91" s="21"/>
      <c r="L91" s="21"/>
      <c r="M91" s="20"/>
      <c r="N91" s="21"/>
      <c r="O91" s="21"/>
      <c r="P91" s="20"/>
      <c r="Q91" s="21"/>
      <c r="R91" s="21"/>
      <c r="S91" s="20"/>
      <c r="T91" s="21"/>
      <c r="U91" s="21"/>
    </row>
    <row r="92" spans="1:21" ht="129.75" customHeight="1">
      <c r="A92" s="137" t="s">
        <v>44</v>
      </c>
      <c r="B92" s="122" t="s">
        <v>7</v>
      </c>
      <c r="C92" s="122" t="s">
        <v>7</v>
      </c>
      <c r="D92" s="122" t="s">
        <v>7</v>
      </c>
      <c r="E92" s="122" t="s">
        <v>7</v>
      </c>
      <c r="F92" s="122" t="s">
        <v>7</v>
      </c>
      <c r="G92" s="122" t="s">
        <v>7</v>
      </c>
      <c r="H92" s="4" t="s">
        <v>7</v>
      </c>
      <c r="I92" s="4" t="s">
        <v>7</v>
      </c>
      <c r="J92" s="21"/>
      <c r="K92" s="21"/>
      <c r="L92" s="21"/>
      <c r="M92" s="20"/>
      <c r="N92" s="21"/>
      <c r="O92" s="21"/>
      <c r="P92" s="20"/>
      <c r="Q92" s="21"/>
      <c r="R92" s="21"/>
      <c r="S92" s="20"/>
      <c r="T92" s="21"/>
      <c r="U92" s="21"/>
    </row>
    <row r="93" spans="1:21" ht="48" customHeight="1">
      <c r="A93" s="137" t="s">
        <v>45</v>
      </c>
      <c r="B93" s="122"/>
      <c r="C93" s="122"/>
      <c r="D93" s="122"/>
      <c r="E93" s="122"/>
      <c r="F93" s="122"/>
      <c r="G93" s="122"/>
      <c r="H93" s="4"/>
      <c r="I93" s="4"/>
      <c r="J93" s="21"/>
      <c r="K93" s="21"/>
      <c r="L93" s="21"/>
      <c r="M93" s="20"/>
      <c r="N93" s="21"/>
      <c r="O93" s="21"/>
      <c r="P93" s="20"/>
      <c r="Q93" s="21"/>
      <c r="R93" s="21"/>
      <c r="S93" s="20"/>
      <c r="T93" s="21"/>
      <c r="U93" s="21"/>
    </row>
    <row r="94" spans="1:21" ht="18" customHeight="1">
      <c r="A94" s="137" t="s">
        <v>35</v>
      </c>
      <c r="B94" s="122"/>
      <c r="C94" s="122"/>
      <c r="D94" s="122"/>
      <c r="E94" s="122"/>
      <c r="F94" s="122"/>
      <c r="G94" s="122"/>
      <c r="H94" s="4"/>
      <c r="I94" s="4"/>
      <c r="J94" s="21"/>
      <c r="K94" s="21"/>
      <c r="L94" s="21"/>
      <c r="M94" s="20"/>
      <c r="N94" s="21"/>
      <c r="O94" s="21"/>
      <c r="P94" s="20"/>
      <c r="Q94" s="21"/>
      <c r="R94" s="21"/>
      <c r="S94" s="20"/>
      <c r="T94" s="21"/>
      <c r="U94" s="21"/>
    </row>
    <row r="95" spans="1:21" ht="12.75" hidden="1">
      <c r="A95" s="137" t="s">
        <v>8</v>
      </c>
      <c r="B95" s="112"/>
      <c r="C95" s="112"/>
      <c r="D95" s="112"/>
      <c r="E95" s="112"/>
      <c r="F95" s="112"/>
      <c r="G95" s="112"/>
      <c r="H95" s="22"/>
      <c r="I95" s="1"/>
      <c r="J95" s="21"/>
      <c r="K95" s="21"/>
      <c r="L95" s="21"/>
      <c r="M95" s="20"/>
      <c r="N95" s="21"/>
      <c r="O95" s="21"/>
      <c r="P95" s="20"/>
      <c r="Q95" s="21"/>
      <c r="R95" s="21"/>
      <c r="S95" s="20"/>
      <c r="T95" s="21"/>
      <c r="U95" s="21"/>
    </row>
    <row r="96" spans="1:21" ht="35.25" customHeight="1">
      <c r="A96" s="137" t="s">
        <v>37</v>
      </c>
      <c r="B96" s="122" t="s">
        <v>7</v>
      </c>
      <c r="C96" s="122" t="s">
        <v>7</v>
      </c>
      <c r="D96" s="122" t="s">
        <v>7</v>
      </c>
      <c r="E96" s="122" t="s">
        <v>7</v>
      </c>
      <c r="F96" s="122" t="s">
        <v>7</v>
      </c>
      <c r="G96" s="122" t="s">
        <v>7</v>
      </c>
      <c r="H96" s="4" t="s">
        <v>7</v>
      </c>
      <c r="I96" s="4" t="s">
        <v>7</v>
      </c>
      <c r="J96" s="21"/>
      <c r="K96" s="21"/>
      <c r="L96" s="21"/>
      <c r="M96" s="20"/>
      <c r="N96" s="21"/>
      <c r="O96" s="21"/>
      <c r="P96" s="20"/>
      <c r="Q96" s="21"/>
      <c r="R96" s="21"/>
      <c r="S96" s="20"/>
      <c r="T96" s="21"/>
      <c r="U96" s="21"/>
    </row>
    <row r="97" spans="1:21" ht="53.25" customHeight="1">
      <c r="A97" s="145" t="s">
        <v>46</v>
      </c>
      <c r="B97" s="57"/>
      <c r="C97" s="57"/>
      <c r="D97" s="57"/>
      <c r="E97" s="58"/>
      <c r="F97" s="58"/>
      <c r="G97" s="58"/>
      <c r="H97" s="76"/>
      <c r="I97" s="76"/>
      <c r="J97" s="59">
        <f aca="true" t="shared" si="7" ref="J97:U97">J16+J47+J56</f>
        <v>715499.6</v>
      </c>
      <c r="K97" s="59">
        <f t="shared" si="7"/>
        <v>669386.8999999999</v>
      </c>
      <c r="L97" s="59">
        <f t="shared" si="7"/>
        <v>756888.2</v>
      </c>
      <c r="M97" s="59">
        <f t="shared" si="7"/>
        <v>693671.8999999999</v>
      </c>
      <c r="N97" s="59">
        <f t="shared" si="7"/>
        <v>692208.4999999999</v>
      </c>
      <c r="O97" s="59">
        <f t="shared" si="7"/>
        <v>1463.4</v>
      </c>
      <c r="P97" s="59">
        <f t="shared" si="7"/>
        <v>574680.7</v>
      </c>
      <c r="Q97" s="59">
        <f t="shared" si="7"/>
        <v>574680.7</v>
      </c>
      <c r="R97" s="59">
        <f t="shared" si="7"/>
        <v>0</v>
      </c>
      <c r="S97" s="59">
        <f t="shared" si="7"/>
        <v>576600.3</v>
      </c>
      <c r="T97" s="59">
        <f t="shared" si="7"/>
        <v>576600.3</v>
      </c>
      <c r="U97" s="59">
        <f t="shared" si="7"/>
        <v>0</v>
      </c>
    </row>
  </sheetData>
  <sheetProtection/>
  <mergeCells count="18">
    <mergeCell ref="A5:U5"/>
    <mergeCell ref="B9:D9"/>
    <mergeCell ref="E9:G9"/>
    <mergeCell ref="J9:K10"/>
    <mergeCell ref="M9:O9"/>
    <mergeCell ref="P9:U9"/>
    <mergeCell ref="H10:H14"/>
    <mergeCell ref="I10:I14"/>
    <mergeCell ref="M10:O10"/>
    <mergeCell ref="J1:U1"/>
    <mergeCell ref="A3:U3"/>
    <mergeCell ref="A7:A14"/>
    <mergeCell ref="B7:G7"/>
    <mergeCell ref="H7:I9"/>
    <mergeCell ref="J7:U8"/>
    <mergeCell ref="P11:R12"/>
    <mergeCell ref="S11:U12"/>
    <mergeCell ref="B8:G8"/>
  </mergeCells>
  <printOptions/>
  <pageMargins left="0.25" right="0.25"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2022-11-17T07:54:23Z</cp:lastPrinted>
  <dcterms:created xsi:type="dcterms:W3CDTF">2014-06-02T07:27:05Z</dcterms:created>
  <dcterms:modified xsi:type="dcterms:W3CDTF">2022-11-17T07:54:39Z</dcterms:modified>
  <cp:category/>
  <cp:version/>
  <cp:contentType/>
  <cp:contentStatus/>
</cp:coreProperties>
</file>